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h3Fhs9sspUAvNF8nzRWqixXSvrCGH70vHTTvvJgIUgmbKvbrvRhUX0SkZ/VPPklziYYgejWEzK+FveVQ7/+xGw==" workbookSaltValue="bQdf4tHPY+CDIaXzCGxS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H32" i="20"/>
  <c r="F32" i="20"/>
  <c r="G26" i="14"/>
  <c r="S32" i="20"/>
  <c r="AQ32" i="21"/>
  <c r="AJ32" i="20"/>
  <c r="G30" i="14"/>
  <c r="U18" i="11"/>
  <c r="Y32" i="20"/>
  <c r="AG32" i="20"/>
  <c r="T32" i="21"/>
  <c r="AF32" i="20"/>
  <c r="K32" i="20"/>
  <c r="O17" i="11"/>
  <c r="E23" i="12" l="1"/>
  <c r="BF17" i="8"/>
  <c r="B14" i="7"/>
  <c r="H14" i="12"/>
  <c r="R13" i="17"/>
  <c r="P13" i="14"/>
  <c r="BG17" i="13"/>
  <c r="R8" i="9"/>
  <c r="BH30" i="16" s="1"/>
  <c r="S13" i="17"/>
  <c r="S12" i="14"/>
  <c r="V12" i="14" s="1"/>
  <c r="S17" i="14"/>
  <c r="V17" i="14" s="1"/>
  <c r="R10" i="14"/>
  <c r="R17" i="14"/>
  <c r="R29" i="14"/>
  <c r="T21" i="11"/>
  <c r="T29" i="11"/>
  <c r="S9" i="14"/>
  <c r="V9" i="14" s="1"/>
  <c r="T20" i="11"/>
  <c r="X25" i="17"/>
  <c r="AA29" i="16"/>
  <c r="X22" i="17"/>
  <c r="X10" i="17"/>
  <c r="X16" i="17"/>
  <c r="X11" i="17"/>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T18" i="20"/>
  <c r="X9" i="17"/>
  <c r="AA18" i="16"/>
  <c r="X13" i="17"/>
  <c r="AA17" i="16"/>
  <c r="AA28" i="16"/>
  <c r="T18" i="11"/>
  <c r="S16" i="14"/>
  <c r="V16" i="14" s="1"/>
  <c r="T11" i="11"/>
  <c r="T25" i="11"/>
  <c r="T13" i="11"/>
  <c r="R19" i="14"/>
  <c r="R12" i="14"/>
  <c r="S29" i="14"/>
  <c r="V29" i="14" s="1"/>
  <c r="S19" i="14"/>
  <c r="V19" i="14" s="1"/>
  <c r="R13" i="14"/>
  <c r="S11" i="14"/>
  <c r="V11" i="14" s="1"/>
  <c r="V13" i="16"/>
  <c r="T22" i="11"/>
  <c r="R11" i="14"/>
  <c r="S13" i="14"/>
  <c r="V13" i="14" s="1"/>
  <c r="R22" i="14"/>
  <c r="R2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V25" i="11"/>
  <c r="BF17" i="11"/>
  <c r="P17" i="11" s="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T23" i="16" s="1"/>
  <c r="T31" i="16" s="1"/>
  <c r="AZ16" i="11"/>
  <c r="AZ23" i="11" s="1"/>
  <c r="AZ26" i="11" s="1"/>
  <c r="BW20" i="20"/>
  <c r="BU16" i="17"/>
  <c r="BV19" i="16"/>
  <c r="BW19" i="20"/>
  <c r="BV18" i="16"/>
  <c r="X20" i="16"/>
  <c r="BW18" i="20"/>
  <c r="BU10" i="17"/>
  <c r="BV12" i="16"/>
  <c r="BW25" i="20"/>
  <c r="BW12" i="20"/>
  <c r="BU22" i="17"/>
  <c r="BV16" i="16"/>
  <c r="BV23" i="16" s="1"/>
  <c r="BV26" i="16" s="1"/>
  <c r="BV30" i="16" s="1"/>
  <c r="U13" i="17"/>
  <c r="BW16" i="20"/>
  <c r="BU20" i="17"/>
  <c r="U10" i="17"/>
  <c r="BW29" i="20"/>
  <c r="BV10" i="16"/>
  <c r="BW22" i="20"/>
  <c r="BU18" i="17"/>
  <c r="BV29" i="16"/>
  <c r="V12" i="16"/>
  <c r="BW21" i="20"/>
  <c r="BF21" i="11"/>
  <c r="BF23" i="11" s="1"/>
  <c r="Q18" i="17"/>
  <c r="S10" i="17"/>
  <c r="BH22" i="11"/>
  <c r="X10" i="21"/>
  <c r="X13" i="16"/>
  <c r="BV9" i="16"/>
  <c r="AZ17" i="11"/>
  <c r="BG12" i="11"/>
  <c r="BI20" i="11"/>
  <c r="BI9" i="11"/>
  <c r="BL28" i="11"/>
  <c r="BL10" i="11"/>
  <c r="BH10" i="16"/>
  <c r="BH11" i="11"/>
  <c r="S18" i="17"/>
  <c r="BM9" i="11"/>
  <c r="Q9" i="11" s="1"/>
  <c r="BH12" i="16"/>
  <c r="BK22" i="11"/>
  <c r="L22" i="2"/>
  <c r="S16" i="17"/>
  <c r="S17" i="17"/>
  <c r="X19" i="16"/>
  <c r="U9" i="17"/>
  <c r="U31" i="17" s="1"/>
  <c r="BU12" i="17"/>
  <c r="BU33" i="17" s="1"/>
  <c r="S28" i="17"/>
  <c r="T16" i="11"/>
  <c r="BH10" i="11"/>
  <c r="AQ10" i="21"/>
  <c r="AO29" i="17"/>
  <c r="BI29" i="11"/>
  <c r="BG17" i="11"/>
  <c r="BM21" i="11"/>
  <c r="P21" i="11" s="1"/>
  <c r="AO25" i="17"/>
  <c r="BJ17" i="11"/>
  <c r="BL17" i="11"/>
  <c r="X12" i="17"/>
  <c r="X22" i="16"/>
  <c r="L12" i="2"/>
  <c r="L20" i="2"/>
  <c r="V10" i="16"/>
  <c r="V9" i="16"/>
  <c r="T19" i="11"/>
  <c r="T28" i="11"/>
  <c r="T12" i="11"/>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AQ17" i="11"/>
  <c r="P25" i="11"/>
  <c r="P12" i="11"/>
  <c r="S23" i="16"/>
  <c r="S31" i="16" s="1"/>
  <c r="P9"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<sst xmlns="http://schemas.openxmlformats.org/spreadsheetml/2006/main" count="2682" uniqueCount="1193">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</sst>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JBctaRypltUWp0dcDeT6Xg9GavBKQBYzWvpq+4lE5Pz3l6EHTPExDh0FoN88y5iJQ2BkXSEANuYAc8ARiqMFw==" saltValue="5xjzZQx/z+FhmEZq2UT0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13</v>
      </c>
      <c r="F10" s="240">
        <f>IF(ISNUMBER(Datos!K10),Datos!K10," - ")</f>
        <v>23</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-0.34482758620689657</v>
      </c>
      <c r="L10" s="1402">
        <f>IF(ISNUMBER(NºAsuntos!I10/NºAsuntos!G10),(NºAsuntos!I10/NºAsuntos!G10)*11," - ")</f>
        <v>9.0869565217391308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18.104166666666664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13</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743</v>
      </c>
      <c r="D17" s="239">
        <f>IF(ISNUMBER(IF(D_I="SI",Datos!I17,Datos!I17+Datos!AC17)),IF(D_I="SI",Datos!I17,Datos!I17+Datos!AC17)," - ")</f>
        <v>743</v>
      </c>
      <c r="E17" s="240">
        <f>IF(ISNUMBER(IF(D_I="SI",Datos!J17,Datos!J17+Datos!AD17)),IF(D_I="SI",Datos!J17,Datos!J17+Datos!AD17)," - ")</f>
        <v>330</v>
      </c>
      <c r="F17" s="240">
        <f>IF(ISNUMBER(IF(D_I="SI",Datos!K17,Datos!K17+Datos!AE17)),IF(D_I="SI",Datos!K17,Datos!K17+Datos!AE17)," - ")</f>
        <v>386</v>
      </c>
      <c r="G17" s="1390" t="str">
        <f>IF(Datos!E17&lt;&gt;"",Datos!E17,Datos!D17)</f>
        <v>04</v>
      </c>
      <c r="H17" s="241">
        <f>IF(ISNUMBER(IF(D_I="SI",Datos!L17,Datos!L17+Datos!AF17)),IF(D_I="SI",Datos!L17,Datos!L17+Datos!AF17)," - ")</f>
        <v>687</v>
      </c>
      <c r="I17" s="1400" t="str">
        <f>IF(ISNUMBER(Datos!AS17/Datos!BM17),Datos!AS17/Datos!BM17," - ")</f>
        <v xml:space="preserve"> - </v>
      </c>
      <c r="J17" s="1401">
        <f>IF(ISNUMBER(Datos!BY17/Datos!CN17),Datos!BY17/Datos!CN17," - ")</f>
        <v>0</v>
      </c>
      <c r="K17" s="244">
        <f t="shared" si="3"/>
        <v>-7.5370121130551818E-2</v>
      </c>
      <c r="L17" s="1402">
        <f>IF(ISNUMBER(NºAsuntos!I17/NºAsuntos!G17),(NºAsuntos!I17/NºAsuntos!G17)*11," - ")</f>
        <v>19.577720207253886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111</v>
      </c>
      <c r="D18" s="239">
        <f>IF(ISNUMBER(IF(D_I="SI",Datos!I18,Datos!I18+Datos!AC18)),IF(D_I="SI",Datos!I18,Datos!I18+Datos!AC18)," - ")</f>
        <v>111</v>
      </c>
      <c r="E18" s="240">
        <f>IF(ISNUMBER(IF(D_I="SI",Datos!J18,Datos!J18+Datos!AD18)),IF(D_I="SI",Datos!J18,Datos!J18+Datos!AD18)," - ")</f>
        <v>53</v>
      </c>
      <c r="F18" s="240">
        <f>IF(ISNUMBER(IF(D_I="SI",Datos!K18,Datos!K18+Datos!AE18)),IF(D_I="SI",Datos!K18,Datos!K18+Datos!AE18)," - ")</f>
        <v>81</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-0.25225225225225223</v>
      </c>
      <c r="L18" s="1402">
        <f>IF(ISNUMBER(NºAsuntos!I18/NºAsuntos!G18),(NºAsuntos!I18/NºAsuntos!G18)*11," - ")</f>
        <v>11.271604938271606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854</v>
      </c>
      <c r="D23" s="1407">
        <f>SUBTOTAL(9,D16:D22)</f>
        <v>854</v>
      </c>
      <c r="E23" s="1408">
        <f>SUBTOTAL(9,E16:E22)</f>
        <v>383</v>
      </c>
      <c r="F23" s="1408">
        <f>SUBTOTAL(9,F16:F22)</f>
        <v>467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883</v>
      </c>
      <c r="D31" s="1435">
        <f>SUBTOTAL(9,D9:D30)</f>
        <v>883</v>
      </c>
      <c r="E31" s="1436">
        <f>SUBTOTAL(9,E9:E30)</f>
        <v>396</v>
      </c>
      <c r="F31" s="1436">
        <f>SUBTOTAL(9,F9:F30)</f>
        <v>490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FNSOTUWRgx+ogmstHINW7w8lq3/zdKiFP0n841i94KHuSs7+d/S32Aid40wq5c3anzzBX4HsNBr3CC76t5iCQ==" saltValue="mRziDR+td/d+mlFRXNrX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9IkyrAxpZscOJSEWVN6IBXgnHZGrtDThK+Uj4w0l826kK2DSdhLMBP0Av2rBf4irDyxIs2nZKEzj343jLUe+g==" saltValue="nfvDub063Hs4sxPWPE5+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13</v>
      </c>
      <c r="K10" s="194">
        <v>23</v>
      </c>
      <c r="L10" s="194">
        <v>19</v>
      </c>
      <c r="M10" s="194">
        <v>6</v>
      </c>
      <c r="N10" s="194">
        <v>0</v>
      </c>
      <c r="O10" s="194">
        <v>0</v>
      </c>
      <c r="P10" s="194">
        <v>1</v>
      </c>
      <c r="Q10" s="194">
        <v>0</v>
      </c>
      <c r="R10" s="194">
        <v>18</v>
      </c>
      <c r="S10" s="194">
        <v>20</v>
      </c>
      <c r="T10" s="194">
        <v>12</v>
      </c>
      <c r="U10" s="194">
        <v>7</v>
      </c>
      <c r="V10" s="194">
        <v>25</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12</v>
      </c>
      <c r="BA10" s="139">
        <f t="shared" si="0"/>
        <v>7</v>
      </c>
      <c r="BB10" s="139">
        <f t="shared" si="0"/>
        <v>25</v>
      </c>
      <c r="BC10" s="135">
        <f t="shared" si="0"/>
        <v>5</v>
      </c>
      <c r="BD10" s="136">
        <f>IF(ISNUMBER(BA10/AZ10),BA10/AZ10," - ")</f>
        <v>0.58333333333333337</v>
      </c>
      <c r="BE10" s="137">
        <f>IF(ISNUMBER(BB10/BA10),BB10/BA10, " - ")</f>
        <v>3.5714285714285716</v>
      </c>
      <c r="BF10" s="137">
        <f>IF(ISNUMBER(BC10/BA10),BC10/BA10, " - ")</f>
        <v>0.7142857142857143</v>
      </c>
      <c r="BG10" s="209">
        <f>IF(ISNUMBER((AY10+AZ10)/BA10),(AY10+AZ10)/BA10," - ")</f>
        <v>4.5714285714285712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610</v>
      </c>
      <c r="J12" s="196">
        <v>451</v>
      </c>
      <c r="K12" s="196">
        <v>356</v>
      </c>
      <c r="L12" s="196">
        <v>694</v>
      </c>
      <c r="M12" s="196">
        <v>90</v>
      </c>
      <c r="N12" s="196">
        <v>121</v>
      </c>
      <c r="O12" s="194">
        <v>95</v>
      </c>
      <c r="P12" s="196">
        <v>47</v>
      </c>
      <c r="Q12" s="196">
        <v>81</v>
      </c>
      <c r="R12" s="196">
        <v>955</v>
      </c>
      <c r="S12" s="196">
        <v>514</v>
      </c>
      <c r="T12" s="196">
        <v>274</v>
      </c>
      <c r="U12" s="196">
        <v>276</v>
      </c>
      <c r="V12" s="196">
        <v>512</v>
      </c>
      <c r="W12" s="196">
        <v>93</v>
      </c>
      <c r="X12" s="202">
        <v>118</v>
      </c>
      <c r="Y12" s="204">
        <v>17</v>
      </c>
      <c r="Z12" s="194">
        <v>76</v>
      </c>
      <c r="AA12" s="194">
        <v>76</v>
      </c>
      <c r="AB12" s="194">
        <v>17</v>
      </c>
      <c r="AC12" s="196">
        <v>0</v>
      </c>
      <c r="AD12" s="196">
        <v>0</v>
      </c>
      <c r="AE12" s="196">
        <v>0</v>
      </c>
      <c r="AF12" s="202">
        <v>0</v>
      </c>
      <c r="AG12" s="215">
        <v>32</v>
      </c>
      <c r="AH12" s="196">
        <v>76</v>
      </c>
      <c r="AI12" s="196">
        <v>64</v>
      </c>
      <c r="AJ12" s="216">
        <v>44</v>
      </c>
      <c r="AK12" s="195">
        <v>0</v>
      </c>
      <c r="AL12" s="196">
        <v>0</v>
      </c>
      <c r="AM12" s="196">
        <v>0</v>
      </c>
      <c r="AN12" s="202">
        <v>0</v>
      </c>
      <c r="AO12" s="283">
        <v>4</v>
      </c>
      <c r="AP12" s="168">
        <v>4</v>
      </c>
      <c r="AQ12" s="168">
        <v>4</v>
      </c>
      <c r="AR12" s="167">
        <v>4</v>
      </c>
      <c r="AS12" s="381" t="s">
        <v>1075</v>
      </c>
      <c r="AT12" s="216"/>
      <c r="AU12" s="215"/>
      <c r="AV12" s="216"/>
      <c r="AW12" s="215"/>
      <c r="AX12" s="216"/>
      <c r="AY12" s="136">
        <f t="shared" si="1"/>
        <v>546</v>
      </c>
      <c r="AZ12" s="137">
        <f t="shared" si="1"/>
        <v>350</v>
      </c>
      <c r="BA12" s="137">
        <f t="shared" si="1"/>
        <v>340</v>
      </c>
      <c r="BB12" s="137">
        <f t="shared" si="1"/>
        <v>556</v>
      </c>
      <c r="BC12" s="135">
        <f>IF(ISNUMBER(X12),X12," - ")</f>
        <v>118</v>
      </c>
      <c r="BD12" s="136">
        <f t="shared" si="2"/>
        <v>0.97142857142857142</v>
      </c>
      <c r="BE12" s="137">
        <f t="shared" si="3"/>
        <v>1.6352941176470588</v>
      </c>
      <c r="BF12" s="137">
        <f t="shared" si="4"/>
        <v>0.34705882352941175</v>
      </c>
      <c r="BG12" s="209">
        <f t="shared" si="5"/>
        <v>2.6352941176470588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639</v>
      </c>
      <c r="J14" s="197">
        <f t="shared" si="7"/>
        <v>464</v>
      </c>
      <c r="K14" s="197">
        <f t="shared" si="7"/>
        <v>379</v>
      </c>
      <c r="L14" s="197">
        <f t="shared" si="7"/>
        <v>713</v>
      </c>
      <c r="M14" s="197">
        <f t="shared" si="7"/>
        <v>96</v>
      </c>
      <c r="N14" s="197">
        <f t="shared" si="7"/>
        <v>121</v>
      </c>
      <c r="O14" s="197">
        <f t="shared" si="7"/>
        <v>95</v>
      </c>
      <c r="P14" s="197">
        <f t="shared" si="7"/>
        <v>48</v>
      </c>
      <c r="Q14" s="197">
        <f t="shared" si="7"/>
        <v>81</v>
      </c>
      <c r="R14" s="197">
        <f t="shared" si="7"/>
        <v>973</v>
      </c>
      <c r="S14" s="197">
        <f t="shared" si="7"/>
        <v>534</v>
      </c>
      <c r="T14" s="197">
        <f t="shared" si="7"/>
        <v>286</v>
      </c>
      <c r="U14" s="197">
        <f t="shared" si="7"/>
        <v>283</v>
      </c>
      <c r="V14" s="197">
        <f t="shared" si="7"/>
        <v>537</v>
      </c>
      <c r="W14" s="197">
        <f t="shared" si="7"/>
        <v>98</v>
      </c>
      <c r="X14" s="197">
        <f t="shared" si="7"/>
        <v>118</v>
      </c>
      <c r="Y14" s="197">
        <f t="shared" si="7"/>
        <v>17</v>
      </c>
      <c r="Z14" s="197">
        <f t="shared" si="7"/>
        <v>76</v>
      </c>
      <c r="AA14" s="197">
        <f t="shared" si="7"/>
        <v>76</v>
      </c>
      <c r="AB14" s="197">
        <f t="shared" si="7"/>
        <v>17</v>
      </c>
      <c r="AC14" s="197">
        <f t="shared" si="7"/>
        <v>0</v>
      </c>
      <c r="AD14" s="197">
        <f t="shared" si="7"/>
        <v>0</v>
      </c>
      <c r="AE14" s="197">
        <f t="shared" si="7"/>
        <v>0</v>
      </c>
      <c r="AF14" s="197">
        <f>SUBTOTAL(9,AF9:AF13)</f>
        <v>0</v>
      </c>
      <c r="AG14" s="197">
        <f t="shared" ref="AG14:AT14" si="8">SUBTOTAL(9,AG8:AG13)</f>
        <v>32</v>
      </c>
      <c r="AH14" s="197">
        <f t="shared" si="8"/>
        <v>76</v>
      </c>
      <c r="AI14" s="197">
        <f t="shared" si="8"/>
        <v>64</v>
      </c>
      <c r="AJ14" s="197">
        <f t="shared" si="8"/>
        <v>44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566</v>
      </c>
      <c r="AZ14" s="197">
        <f>SUBTOTAL(9,AZ8:AZ13)</f>
        <v>362</v>
      </c>
      <c r="BA14" s="197">
        <f>SUBTOTAL(9,BA8:BA13)</f>
        <v>347</v>
      </c>
      <c r="BB14" s="197">
        <f>SUBTOTAL(9,BB8:BB13)</f>
        <v>581</v>
      </c>
      <c r="BC14" s="197">
        <f>SUBTOTAL(9,BC8:BC13)</f>
        <v>123</v>
      </c>
      <c r="BD14" s="219">
        <f>IF(ISNUMBER(BA14/AZ14),BA14/AZ14," - ")</f>
        <v>0.95856353591160226</v>
      </c>
      <c r="BE14" s="220">
        <f>IF(ISNUMBER(BB14/BA14),BB14/BA14, " - ")</f>
        <v>1.6743515850144093</v>
      </c>
      <c r="BF14" s="220">
        <f>IF(ISNUMBER(BC14/BA14),BC14/BA14, " - ")</f>
        <v>0.35446685878962536</v>
      </c>
      <c r="BG14" s="221">
        <f>IF(ISNUMBER((AY14+AZ14)/BA14),(AY14+AZ14)/BA14," - ")</f>
        <v>2.6743515850144091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743</v>
      </c>
      <c r="J17" s="196">
        <v>330</v>
      </c>
      <c r="K17" s="196">
        <v>386</v>
      </c>
      <c r="L17" s="196">
        <v>687</v>
      </c>
      <c r="M17" s="196">
        <v>80</v>
      </c>
      <c r="N17" s="196">
        <v>202</v>
      </c>
      <c r="O17" s="194">
        <v>0</v>
      </c>
      <c r="P17" s="196">
        <v>29</v>
      </c>
      <c r="Q17" s="196">
        <v>30</v>
      </c>
      <c r="R17" s="196">
        <v>132</v>
      </c>
      <c r="S17" s="196">
        <v>511</v>
      </c>
      <c r="T17" s="196">
        <v>337</v>
      </c>
      <c r="U17" s="196">
        <v>178</v>
      </c>
      <c r="V17" s="196">
        <v>671</v>
      </c>
      <c r="W17" s="196">
        <v>74</v>
      </c>
      <c r="X17" s="202">
        <v>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511</v>
      </c>
      <c r="AZ17" s="137">
        <f t="shared" si="10"/>
        <v>337</v>
      </c>
      <c r="BA17" s="137">
        <f t="shared" si="10"/>
        <v>178</v>
      </c>
      <c r="BB17" s="137">
        <f t="shared" si="10"/>
        <v>671</v>
      </c>
      <c r="BC17" s="135">
        <f>IF(ISNUMBER(W17),W17," - ")</f>
        <v>74</v>
      </c>
      <c r="BD17" s="136">
        <f t="shared" ref="BD17:BD22" si="12">IF(ISNUMBER(BA17/AZ17),BA17/AZ17," - ")</f>
        <v>0.52818991097922852</v>
      </c>
      <c r="BE17" s="137">
        <f t="shared" ref="BE17:BE22" si="13">IF(ISNUMBER(BB17/BA17),BB17/BA17, " - ")</f>
        <v>3.7696629213483148</v>
      </c>
      <c r="BF17" s="137">
        <f t="shared" ref="BF17:BF22" si="14">IF(ISNUMBER(BC17/BA17),BC17/BA17, " - ")</f>
        <v>0.4157303370786517</v>
      </c>
      <c r="BG17" s="209">
        <f t="shared" si="11"/>
        <v>4.7640449438202248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111</v>
      </c>
      <c r="J18" s="196">
        <v>53</v>
      </c>
      <c r="K18" s="196">
        <v>81</v>
      </c>
      <c r="L18" s="196">
        <v>83</v>
      </c>
      <c r="M18" s="196">
        <v>6</v>
      </c>
      <c r="N18" s="196">
        <v>54</v>
      </c>
      <c r="O18" s="196">
        <v>0</v>
      </c>
      <c r="P18" s="196">
        <v>0</v>
      </c>
      <c r="Q18" s="196">
        <v>0</v>
      </c>
      <c r="R18" s="196">
        <v>3</v>
      </c>
      <c r="S18" s="196">
        <v>73</v>
      </c>
      <c r="T18" s="196">
        <v>59</v>
      </c>
      <c r="U18" s="196">
        <v>38</v>
      </c>
      <c r="V18" s="196">
        <v>94</v>
      </c>
      <c r="W18" s="196">
        <v>10</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73</v>
      </c>
      <c r="AZ18" s="139">
        <f t="shared" si="15"/>
        <v>59</v>
      </c>
      <c r="BA18" s="139">
        <f t="shared" si="15"/>
        <v>38</v>
      </c>
      <c r="BB18" s="139">
        <f t="shared" si="15"/>
        <v>94</v>
      </c>
      <c r="BC18" s="135">
        <f>IF(ISNUMBER(W18),W18," - ")</f>
        <v>10</v>
      </c>
      <c r="BD18" s="136">
        <f>IF(ISNUMBER(BA18/AZ18),BA18/AZ18," - ")</f>
        <v>0.64406779661016944</v>
      </c>
      <c r="BE18" s="137">
        <f>IF(ISNUMBER(BB18/BA18),BB18/BA18, " - ")</f>
        <v>2.4736842105263159</v>
      </c>
      <c r="BF18" s="137">
        <f>IF(ISNUMBER(BC18/BA18),BC18/BA18, " - ")</f>
        <v>0.26315789473684209</v>
      </c>
      <c r="BG18" s="209">
        <f>IF(ISNUMBER((AY18+AZ18)/BA18),(AY18+AZ18)/BA18," - ")</f>
        <v>3.4736842105263159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854</v>
      </c>
      <c r="J23" s="197">
        <f t="shared" si="21"/>
        <v>383</v>
      </c>
      <c r="K23" s="197">
        <f t="shared" si="21"/>
        <v>467</v>
      </c>
      <c r="L23" s="197">
        <f t="shared" si="21"/>
        <v>770</v>
      </c>
      <c r="M23" s="197">
        <f t="shared" si="21"/>
        <v>86</v>
      </c>
      <c r="N23" s="197">
        <f t="shared" si="21"/>
        <v>256</v>
      </c>
      <c r="O23" s="197">
        <f t="shared" si="21"/>
        <v>0</v>
      </c>
      <c r="P23" s="197">
        <f t="shared" si="21"/>
        <v>29</v>
      </c>
      <c r="Q23" s="197">
        <f t="shared" si="21"/>
        <v>30</v>
      </c>
      <c r="R23" s="197">
        <f t="shared" si="21"/>
        <v>135</v>
      </c>
      <c r="S23" s="197">
        <f t="shared" si="21"/>
        <v>584</v>
      </c>
      <c r="T23" s="197">
        <f t="shared" si="21"/>
        <v>396</v>
      </c>
      <c r="U23" s="197">
        <f t="shared" si="21"/>
        <v>216</v>
      </c>
      <c r="V23" s="197">
        <f t="shared" si="21"/>
        <v>765</v>
      </c>
      <c r="W23" s="197">
        <f t="shared" si="21"/>
        <v>84</v>
      </c>
      <c r="X23" s="197">
        <f t="shared" si="21"/>
        <v>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584</v>
      </c>
      <c r="AZ23" s="197">
        <f>SUBTOTAL(9,AZ15:AZ22)</f>
        <v>396</v>
      </c>
      <c r="BA23" s="197">
        <f>SUBTOTAL(9,BA15:BA22)</f>
        <v>216</v>
      </c>
      <c r="BB23" s="197">
        <f>SUBTOTAL(9,BB15:BB22)</f>
        <v>765</v>
      </c>
      <c r="BC23" s="197">
        <f>SUBTOTAL(9,BC15:BC22)</f>
        <v>84</v>
      </c>
      <c r="BD23" s="219">
        <f>IF(ISNUMBER(BA23/AZ23),BA23/AZ23," - ")</f>
        <v>0.54545454545454541</v>
      </c>
      <c r="BE23" s="220">
        <f>IF(ISNUMBER(BB23/BA23),BB23/BA23, " - ")</f>
        <v>3.5416666666666665</v>
      </c>
      <c r="BF23" s="220">
        <f>IF(ISNUMBER(BC23/BA23),BC23/BA23, " - ")</f>
        <v>0.3888888888888889</v>
      </c>
      <c r="BG23" s="221">
        <f>IF(ISNUMBER((AY23+AZ23)/BA23),(AY23+AZ23)/BA23," - ")</f>
        <v>4.5370370370370372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1493</v>
      </c>
      <c r="J31" s="144">
        <f t="shared" si="36"/>
        <v>847</v>
      </c>
      <c r="K31" s="144">
        <f t="shared" si="36"/>
        <v>846</v>
      </c>
      <c r="L31" s="144">
        <f t="shared" si="36"/>
        <v>1483</v>
      </c>
      <c r="M31" s="144">
        <f t="shared" si="36"/>
        <v>182</v>
      </c>
      <c r="N31" s="144">
        <f t="shared" si="36"/>
        <v>377</v>
      </c>
      <c r="O31" s="144">
        <f t="shared" si="36"/>
        <v>95</v>
      </c>
      <c r="P31" s="144">
        <f t="shared" si="36"/>
        <v>77</v>
      </c>
      <c r="Q31" s="144">
        <f t="shared" si="36"/>
        <v>111</v>
      </c>
      <c r="R31" s="144">
        <f t="shared" si="36"/>
        <v>1108</v>
      </c>
      <c r="S31" s="144">
        <f t="shared" si="36"/>
        <v>1118</v>
      </c>
      <c r="T31" s="144">
        <f t="shared" si="36"/>
        <v>682</v>
      </c>
      <c r="U31" s="144">
        <f t="shared" si="36"/>
        <v>499</v>
      </c>
      <c r="V31" s="144">
        <f t="shared" si="36"/>
        <v>1302</v>
      </c>
      <c r="W31" s="144">
        <f t="shared" si="36"/>
        <v>182</v>
      </c>
      <c r="X31" s="144">
        <f t="shared" si="36"/>
        <v>180</v>
      </c>
      <c r="Y31" s="144">
        <f t="shared" si="36"/>
        <v>17</v>
      </c>
      <c r="Z31" s="144">
        <f t="shared" si="36"/>
        <v>76</v>
      </c>
      <c r="AA31" s="144">
        <f t="shared" si="36"/>
        <v>76</v>
      </c>
      <c r="AB31" s="144">
        <f t="shared" si="36"/>
        <v>17</v>
      </c>
      <c r="AC31" s="144">
        <f t="shared" si="36"/>
        <v>0</v>
      </c>
      <c r="AD31" s="144">
        <f t="shared" si="36"/>
        <v>0</v>
      </c>
      <c r="AE31" s="144">
        <f t="shared" si="36"/>
        <v>0</v>
      </c>
      <c r="AF31" s="144">
        <f t="shared" si="36"/>
        <v>0</v>
      </c>
      <c r="AG31" s="144">
        <f t="shared" si="36"/>
        <v>32</v>
      </c>
      <c r="AH31" s="144">
        <f t="shared" si="36"/>
        <v>76</v>
      </c>
      <c r="AI31" s="144">
        <f t="shared" si="36"/>
        <v>64</v>
      </c>
      <c r="AJ31" s="144">
        <f t="shared" si="36"/>
        <v>44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1150</v>
      </c>
      <c r="AZ31" s="144">
        <f>SUBTOTAL(9,AZ9:AZ30)</f>
        <v>758</v>
      </c>
      <c r="BA31" s="144">
        <f>SUBTOTAL(9,BA9:BA30)</f>
        <v>563</v>
      </c>
      <c r="BB31" s="144">
        <f>SUBTOTAL(9,BB9:BB30)</f>
        <v>1346</v>
      </c>
      <c r="BC31" s="145">
        <f>SUBTOTAL(9,BC9:BC30)</f>
        <v>207</v>
      </c>
      <c r="BD31" s="227">
        <f>IF(ISNUMBER(BA31/AZ31),BA31/AZ31," - ")</f>
        <v>0.74274406332453824</v>
      </c>
      <c r="BE31" s="224">
        <f>IF(ISNUMBER(BB31/BA31),BB31/BA31, " - ")</f>
        <v>2.3907637655417409</v>
      </c>
      <c r="BF31" s="224">
        <f>IF(ISNUMBER(BC31/BA31),BC31/BA31, " - ")</f>
        <v>0.36767317939609234</v>
      </c>
      <c r="BG31" s="145">
        <f>IF(ISNUMBER((AY31+AZ31)/BA31),(AY31+AZ31)/BA31," - ")</f>
        <v>3.3889875666074603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9avBsx3Du7I0rgZ0g9CV6f7O5nkIbqJ+LyUMbvfEWGNl5P+kQhzqR3VkbicXbdqm2efu0HjqyWor1ensVj4g==" saltValue="usHlQvYcb2fgDYuKXyB4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cqI2AzmsyJWWUX+O5CsdyBouCqS+1rPleNuCJd87EUzRQQOhjGPuZzqfySNWjgjKocOoR63LsLDPlBVJQh1Q==" saltValue="ABAqKZKt1YRdAfPa5LF9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BERGARA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0</v>
      </c>
      <c r="AD10" s="549"/>
      <c r="AE10" s="563"/>
      <c r="AF10" s="551">
        <f>IF(ISNUMBER(Datos!L10),Datos!L10,"-")</f>
        <v>19</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1.7692307692307692</v>
      </c>
      <c r="BH10" s="764">
        <f>IF(ISNUMBER(((Datos!L10/Datos!K10)*11)/factor_trimestre),((Datos!L10/Datos!K10)*11)/factor_trimestre," - ")</f>
        <v>2.4782608695652177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955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90</v>
      </c>
      <c r="BD12" s="693">
        <f>IF(ISNUMBER(Datos!N12),Datos!N12," - ")</f>
        <v>121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0.81973434535104361</v>
      </c>
      <c r="BH12" s="764">
        <f>IF(ISNUMBER(((IF(J_V="SI",Datos!L12/Datos!K12,(Datos!L12+Datos!AB12)/(Datos!K12+Datos!AA12)))*11)/factor_trimestre),((IF(J_V="SI",Datos!L12/Datos!K12,(Datos!L12+Datos!AB12)/(Datos!K12+Datos!AA12)))*11)/factor_trimestre," - ")</f>
        <v>4.9374999999999991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-3.4378159757330634E-2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81</v>
      </c>
      <c r="AD14" s="1198">
        <f t="shared" si="2"/>
        <v>0</v>
      </c>
      <c r="AE14" s="1198">
        <f t="shared" si="2"/>
        <v>0</v>
      </c>
      <c r="AF14" s="1198">
        <f t="shared" si="2"/>
        <v>19</v>
      </c>
      <c r="AG14" s="1198">
        <f t="shared" si="2"/>
        <v>0</v>
      </c>
      <c r="AH14" s="1198">
        <f t="shared" si="2"/>
        <v>17</v>
      </c>
      <c r="AI14" s="1198">
        <f t="shared" si="2"/>
        <v>0</v>
      </c>
      <c r="AJ14" s="1198">
        <f t="shared" si="2"/>
        <v>0</v>
      </c>
      <c r="AK14" s="1198">
        <f t="shared" si="2"/>
        <v>0</v>
      </c>
      <c r="AL14" s="1198">
        <f t="shared" si="2"/>
        <v>0</v>
      </c>
      <c r="AM14" s="1198">
        <f t="shared" si="2"/>
        <v>973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121</v>
      </c>
      <c r="BE14" s="1198">
        <f t="shared" si="2"/>
        <v>0</v>
      </c>
      <c r="BF14" s="1198">
        <f t="shared" si="2"/>
        <v>0</v>
      </c>
      <c r="BG14" s="1198">
        <f>IF(ISNUMBER(Datos!K14/Datos!J14),Datos!K14/Datos!J14," - ")</f>
        <v>0.81681034482758619</v>
      </c>
      <c r="BH14" s="1202">
        <f>IF(ISNUMBER(((Datos!L14/Datos!K14)*11)/factor_trimestre),((Datos!L14/Datos!K14)*11)/factor_trimestre," - ")</f>
        <v>5.6437994722955143</v>
      </c>
      <c r="BI14" s="1198">
        <f>IF(ISNUMBER('Resol  Asuntos'!D14/NºAsuntos!G14),'Resol  Asuntos'!D14/NºAsuntos!G14," - ")</f>
        <v>0.21098901098901099</v>
      </c>
      <c r="BJ14" s="1198" t="str">
        <f>IF(ISNUMBER(Datos!CI14/Datos!CJ14),Datos!CI14/Datos!CJ14," - ")</f>
        <v xml:space="preserve"> - </v>
      </c>
      <c r="BK14" s="1198">
        <f>SUBTOTAL(9,BK8:BK13)</f>
        <v>0</v>
      </c>
      <c r="BL14" s="1198">
        <f>IF(ISNUMBER((I14-AB14+L14)/(F14)),(I14-AB14+L14)/(F14)," - ")</f>
        <v>-0.7931034482758621</v>
      </c>
      <c r="BM14" s="1203">
        <f>SUBTOTAL(9,BM9:BM13)</f>
        <v>2.4445369654434071E-2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743</v>
      </c>
      <c r="G17" s="743">
        <f>IF(ISNUMBER(IF(D_I="SI",Datos!I17,Datos!I17+Datos!AC17)),IF(D_I="SI",Datos!I17,Datos!I17+Datos!AC17)," - ")</f>
        <v>743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386</v>
      </c>
      <c r="AC17" s="240">
        <f>IF(ISNUMBER(Datos!Q17),Datos!Q17," - ")</f>
        <v>30</v>
      </c>
      <c r="AD17" s="374"/>
      <c r="AE17" s="562"/>
      <c r="AF17" s="741">
        <f>IF(ISNUMBER(IF(D_I="SI",Datos!L17,Datos!L17+Datos!AF17)),IF(D_I="SI",Datos!L17,Datos!L17+Datos!AF17)," - ")</f>
        <v>687</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202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1.1696969696969697</v>
      </c>
      <c r="BH17" s="764">
        <f>IF(ISNUMBER(((IF(D_I="SI",Datos!L17/Datos!K17,(Datos!L17+Datos!AF17)/(Datos!K17+Datos!AE17)))*11)/factor_trimestre),((IF(D_I="SI",Datos!L17/Datos!K17,(Datos!L17+Datos!AF17)/(Datos!K17+Datos!AE17)))*11)/factor_trimestre," - ")</f>
        <v>5.3393782383419692</v>
      </c>
      <c r="BI17" s="266">
        <f>IF(ISNUMBER('Resol  Asuntos'!D17/NºAsuntos!G17),'Resol  Asuntos'!D17/NºAsuntos!G17," - ")</f>
        <v>0.20725388601036268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0</v>
      </c>
      <c r="AD18" s="549"/>
      <c r="AE18" s="562"/>
      <c r="AF18" s="551">
        <f>IF(ISNUMBER(Datos!L18),Datos!L18,"-")</f>
        <v>83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1.5283018867924529</v>
      </c>
      <c r="BH18" s="764">
        <f>IF(ISNUMBER(((IF(D_I="SI",Datos!L18/Datos!K18,(Datos!L18+Datos!AF18)/(Datos!K18+Datos!AE18)))*11)/factor_trimestre),((IF(D_I="SI",Datos!L18/Datos!K18,(Datos!L18+Datos!AF18)/(Datos!K18+Datos!AE18)))*11)/factor_trimestre," - ")</f>
        <v>3.0740740740740744</v>
      </c>
      <c r="BI18" s="763">
        <f>IF(ISNUMBER('Resol  Asuntos'!D18/NºAsuntos!G18),'Resol  Asuntos'!D18/NºAsuntos!G18," - ")</f>
        <v>7.407407407407407E-2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743</v>
      </c>
      <c r="G23" s="1197">
        <f>SUBTOTAL(9,G16:G22)</f>
        <v>854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467</v>
      </c>
      <c r="AC23" s="1198">
        <f t="shared" si="5"/>
        <v>30</v>
      </c>
      <c r="AD23" s="1198">
        <f t="shared" si="5"/>
        <v>0</v>
      </c>
      <c r="AE23" s="1198">
        <f t="shared" si="5"/>
        <v>0</v>
      </c>
      <c r="AF23" s="1198">
        <f t="shared" si="5"/>
        <v>770</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256</v>
      </c>
      <c r="BE23" s="1198">
        <f t="shared" si="5"/>
        <v>0</v>
      </c>
      <c r="BF23" s="1198">
        <f t="shared" si="5"/>
        <v>0</v>
      </c>
      <c r="BG23" s="1198">
        <f>IF(ISNUMBER(Datos!K23/Datos!J23),Datos!K23/Datos!J23," - ")</f>
        <v>1.2193211488250653</v>
      </c>
      <c r="BH23" s="1202">
        <f>IF(ISNUMBER(((Datos!L23/Datos!K23)*11)/factor_trimestre),((Datos!L23/Datos!K23)*11)/factor_trimestre," - ")</f>
        <v>4.9464668094218416</v>
      </c>
      <c r="BI23" s="1198">
        <f>SUBTOTAL(9,BI16:BI22)</f>
        <v>0.28132796008443672</v>
      </c>
      <c r="BJ23" s="1198">
        <f>SUBTOTAL(9,BJ16:BJ22)</f>
        <v>0</v>
      </c>
      <c r="BK23" s="1198">
        <f>SUBTOTAL(9,BK16:BK22)</f>
        <v>0</v>
      </c>
      <c r="BL23" s="1198">
        <f>IF(ISNUMBER((I23-AB23+L23)/(F23)),(I23-AB23+L23)/(F23)," - ")</f>
        <v>-0.62853297442799461</v>
      </c>
      <c r="BM23" s="1205">
        <f>IF(ISNUMBER((Datos!P23-Datos!Q23)/(Datos!R23-Datos!P23+Datos!Q23)),(Datos!P23-Datos!Q23)/(Datos!R23-Datos!P23+Datos!Q23)," - ")</f>
        <v>-7.3529411764705881E-3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772</v>
      </c>
      <c r="G31" s="1117">
        <f t="shared" si="18"/>
        <v>883</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490</v>
      </c>
      <c r="AC31" s="1118">
        <f t="shared" si="19"/>
        <v>111</v>
      </c>
      <c r="AD31" s="1118">
        <f t="shared" si="19"/>
        <v>0</v>
      </c>
      <c r="AE31" s="1118">
        <f t="shared" si="19"/>
        <v>0</v>
      </c>
      <c r="AF31" s="1125">
        <f t="shared" si="19"/>
        <v>789</v>
      </c>
      <c r="AG31" s="1125">
        <f t="shared" si="19"/>
        <v>0</v>
      </c>
      <c r="AH31" s="1125">
        <f t="shared" si="19"/>
        <v>17</v>
      </c>
      <c r="AI31" s="1125">
        <f t="shared" si="19"/>
        <v>0</v>
      </c>
      <c r="AJ31" s="1118">
        <f t="shared" si="19"/>
        <v>0</v>
      </c>
      <c r="AK31" s="1125">
        <f t="shared" si="19"/>
        <v>0</v>
      </c>
      <c r="AL31" s="1125">
        <f t="shared" si="19"/>
        <v>0</v>
      </c>
      <c r="AM31" s="1125">
        <f t="shared" si="19"/>
        <v>1108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182</v>
      </c>
      <c r="BD31" s="1117">
        <f t="shared" si="19"/>
        <v>377</v>
      </c>
      <c r="BE31" s="1117">
        <f t="shared" si="19"/>
        <v>0</v>
      </c>
      <c r="BF31" s="1127">
        <f t="shared" si="19"/>
        <v>0</v>
      </c>
      <c r="BG31" s="1223">
        <f>IF(ISNUMBER(Datos!K31/Datos!J31),Datos!K31/Datos!J31," - ")</f>
        <v>0.99881936245572611</v>
      </c>
      <c r="BH31" s="1223">
        <f>IF(ISNUMBER(((Datos!L31/Datos!K31)*11)/factor_trimestre),((Datos!L31/Datos!K31)*11)/factor_trimestre," - ")</f>
        <v>5.2588652482269511</v>
      </c>
      <c r="BI31" s="1103">
        <f>IF(ISNUMBER(Datos!J31/Datos!I31),Datos!J31/Datos!I31," - ")</f>
        <v>0.56731413261888819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-0.63471502590673579</v>
      </c>
      <c r="BM31" s="1188">
        <f>IF(ISNUMBER((Datos!P31-Datos!Q31+R31)/(Datos!R31-Datos!P31+Datos!Q31-R31)),(Datos!P31-Datos!Q31+R31)/(Datos!R31-Datos!P31+Datos!Q31-R31)," - ")</f>
        <v>-2.9772329246935202E-2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376.41926978658603</v>
      </c>
      <c r="G33" s="674">
        <f>IF(ISNUMBER(STDEV(G8:G30)),STDEV(G8:G30),"-")</f>
        <v>376.34900216231671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198.9572818471342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45.704016703755293</v>
      </c>
      <c r="BD33" s="673"/>
      <c r="BE33" s="673">
        <f>IF(ISNUMBER(STDEV(BE8:BE30)),STDEV(BE8:BE30),"-")</f>
        <v>0</v>
      </c>
      <c r="BF33" s="678">
        <f>IF(ISNUMBER(STDEV(BF8:BF30)),STDEV(BF8:BF30),"-")</f>
        <v>0</v>
      </c>
      <c r="BG33" s="1052">
        <f>IF(ISNUMBER(STDEV(BG8:BG30)),STDEV(BG8:BG30),"-")</f>
        <v>0.38000216902332551</v>
      </c>
      <c r="BH33" s="1058">
        <f>IF(ISNUMBER(STDEV(BH8:BH30)),STDEV(BH8:BH30),"-")</f>
        <v>1.3013914423151227</v>
      </c>
      <c r="BI33" s="273">
        <f>IF(ISNUMBER(STDEV(BI8:BI30)),STDEV(BI8:BI30),"-")</f>
        <v>8.6547300599435772E-2</v>
      </c>
      <c r="BJ33" s="244" t="str">
        <f>IF(ISNUMBER(BL33/BM33),BL33/BM33," - ")</f>
        <v xml:space="preserve"> - </v>
      </c>
      <c r="BK33" s="709"/>
      <c r="BL33" s="681">
        <f>IF(ISNUMBER(STDEV(BL8:BL30)),STDEV(BL8:BL30),"-")</f>
        <v>0.1163688980409113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tSE+JdBTpovhAmU2CHZRoaWdhdMzJtJHdgJiM6aQBUHl0cRdL6oxcvs7dbe9Cd1AtWisxxu96x0wX9rqsqvVg==" saltValue="qCzI142OGTJLQZb/hMv7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BERGARA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0</v>
      </c>
      <c r="AA10" s="551">
        <f>IF(ISNUMBER(Datos!L10),Datos!L10,"-")</f>
        <v>19</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2.4782608695652177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955</v>
      </c>
      <c r="AF12" s="693" t="str">
        <f>IF(ISNUMBER(Datos!BV12),Datos!BV12," - ")</f>
        <v xml:space="preserve"> - </v>
      </c>
      <c r="AG12" s="552" t="str">
        <f>IF(ISNUMBER(Datos!DV12),Datos!DV12," - ")</f>
        <v xml:space="preserve"> - </v>
      </c>
      <c r="AH12" s="553"/>
      <c r="AI12" s="554"/>
      <c r="AJ12" s="552">
        <f>IF(ISNUMBER(Datos!M12),Datos!M12," - ")</f>
        <v>90</v>
      </c>
      <c r="AK12" s="693">
        <f>IF(ISNUMBER(Datos!N12),Datos!N12," - ")</f>
        <v>121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4.9374999999999991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-3.4378159757330634E-2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81</v>
      </c>
      <c r="AA14" s="1199">
        <f t="shared" si="3"/>
        <v>19</v>
      </c>
      <c r="AB14" s="1199">
        <f t="shared" si="3"/>
        <v>0</v>
      </c>
      <c r="AC14" s="1199">
        <f t="shared" si="3"/>
        <v>0</v>
      </c>
      <c r="AD14" s="1199">
        <f t="shared" si="3"/>
        <v>0</v>
      </c>
      <c r="AE14" s="1199">
        <f t="shared" si="3"/>
        <v>973</v>
      </c>
      <c r="AF14" s="1211">
        <f t="shared" si="3"/>
        <v>0</v>
      </c>
      <c r="AG14" s="1211">
        <f t="shared" si="3"/>
        <v>0</v>
      </c>
      <c r="AH14" s="1211">
        <f t="shared" si="3"/>
        <v>0</v>
      </c>
      <c r="AI14" s="1211">
        <f t="shared" si="3"/>
        <v>0</v>
      </c>
      <c r="AJ14" s="1211">
        <f t="shared" si="3"/>
        <v>96</v>
      </c>
      <c r="AK14" s="1211">
        <f t="shared" si="3"/>
        <v>121</v>
      </c>
      <c r="AL14" s="1211">
        <f t="shared" si="3"/>
        <v>0</v>
      </c>
      <c r="AM14" s="1211">
        <f t="shared" si="3"/>
        <v>0</v>
      </c>
      <c r="AN14" s="1211">
        <f t="shared" si="3"/>
        <v>0</v>
      </c>
      <c r="AO14" s="1203">
        <f>IF(ISNUMBER(((NºAsuntos!I14/NºAsuntos!G14)*11)/factor_trimestre),((NºAsuntos!I14/NºAsuntos!G14)*11)/factor_trimestre," - ")</f>
        <v>4.8131868131868139</v>
      </c>
      <c r="AP14" s="1213" t="str">
        <f>IF(ISNUMBER(Datos!CI14/Datos!CJ14),Datos!CI14/Datos!CJ14," - ")</f>
        <v xml:space="preserve"> - </v>
      </c>
      <c r="AQ14" s="1236">
        <f t="shared" ref="AQ14:AV14" si="4">SUBTOTAL(9,AQ9:AQ13)</f>
        <v>0</v>
      </c>
      <c r="AR14" s="1236">
        <f t="shared" si="4"/>
        <v>2.4445369654434071E-2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743</v>
      </c>
      <c r="G17" s="552">
        <f>IF(ISNUMBER(IF(D_I="SI",Datos!I17,Datos!I17+Datos!AC17)),IF(D_I="SI",Datos!I17,Datos!I17+Datos!AC17)," - ")</f>
        <v>743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386</v>
      </c>
      <c r="Z17" s="805">
        <f>IF(ISNUMBER(Datos!Q17),Datos!Q17," - ")</f>
        <v>30</v>
      </c>
      <c r="AA17" s="551">
        <f>IF(ISNUMBER(IF(D_I="SI",Datos!L17,Datos!L17+Datos!AF17)),IF(D_I="SI",Datos!L17,Datos!L17+Datos!AF17)," - ")</f>
        <v>687</v>
      </c>
      <c r="AB17" s="549"/>
      <c r="AC17" s="549"/>
      <c r="AD17" s="563"/>
      <c r="AE17" s="563">
        <f>IF(ISNUMBER(Datos!R17),Datos!R17," - ")</f>
        <v>132</v>
      </c>
      <c r="AF17" s="693" t="str">
        <f>IF(ISNUMBER(Datos!BV17),Datos!BV17," - ")</f>
        <v xml:space="preserve"> - </v>
      </c>
      <c r="AG17" s="552"/>
      <c r="AH17" s="553"/>
      <c r="AI17" s="554"/>
      <c r="AJ17" s="552">
        <f>IF(ISNUMBER(Datos!M17),Datos!M17," - ")</f>
        <v>80</v>
      </c>
      <c r="AK17" s="693">
        <f>IF(ISNUMBER(Datos!N17),Datos!N17," - ")</f>
        <v>202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5.3393782383419692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0</v>
      </c>
      <c r="AA18" s="551">
        <f>IF(ISNUMBER(Datos!L18),Datos!L18,"-")</f>
        <v>83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3.0740740740740744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743</v>
      </c>
      <c r="G23" s="1197">
        <f>SUBTOTAL(9,G16:G22)</f>
        <v>854</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467</v>
      </c>
      <c r="Z23" s="1240">
        <f t="shared" si="6"/>
        <v>30</v>
      </c>
      <c r="AA23" s="1240">
        <f t="shared" si="6"/>
        <v>770</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86</v>
      </c>
      <c r="AK23" s="1240">
        <f t="shared" si="6"/>
        <v>256</v>
      </c>
      <c r="AL23" s="1240">
        <f t="shared" si="6"/>
        <v>0</v>
      </c>
      <c r="AM23" s="1240">
        <f t="shared" si="6"/>
        <v>0</v>
      </c>
      <c r="AN23" s="1240">
        <f t="shared" si="6"/>
        <v>0</v>
      </c>
      <c r="AO23" s="1242">
        <f>IF(ISNUMBER(((NºAsuntos!I23/NºAsuntos!G23)*11)/factor_trimestre),((NºAsuntos!I23/NºAsuntos!G23)*11)/factor_trimestre," - ")</f>
        <v>4.9464668094218416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772</v>
      </c>
      <c r="G31" s="1117">
        <f t="shared" si="12"/>
        <v>883</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490</v>
      </c>
      <c r="Z31" s="1124">
        <f t="shared" si="13"/>
        <v>111</v>
      </c>
      <c r="AA31" s="1125">
        <f t="shared" si="13"/>
        <v>789</v>
      </c>
      <c r="AB31" s="1125">
        <f t="shared" si="13"/>
        <v>0</v>
      </c>
      <c r="AC31" s="1125">
        <f t="shared" si="13"/>
        <v>0</v>
      </c>
      <c r="AD31" s="1126">
        <f t="shared" si="13"/>
        <v>0</v>
      </c>
      <c r="AE31" s="1126">
        <f t="shared" si="13"/>
        <v>1108</v>
      </c>
      <c r="AF31" s="1127">
        <f t="shared" si="13"/>
        <v>0</v>
      </c>
      <c r="AG31" s="1128">
        <f t="shared" si="13"/>
        <v>0</v>
      </c>
      <c r="AH31" s="1129">
        <f t="shared" si="13"/>
        <v>0</v>
      </c>
      <c r="AI31" s="1127">
        <f t="shared" si="13"/>
        <v>0</v>
      </c>
      <c r="AJ31" s="1117">
        <f t="shared" si="13"/>
        <v>182</v>
      </c>
      <c r="AK31" s="1117">
        <f t="shared" si="13"/>
        <v>377</v>
      </c>
      <c r="AL31" s="1117">
        <f t="shared" si="13"/>
        <v>0</v>
      </c>
      <c r="AM31" s="1130">
        <f t="shared" si="13"/>
        <v>0</v>
      </c>
      <c r="AN31" s="1120">
        <f>IF(ISNUMBER(Datos!K31/Datos!J31),Datos!K31/Datos!J31," - ")</f>
        <v>0.99881936245572611</v>
      </c>
      <c r="AO31" s="1120">
        <f>IF(ISNUMBER(FIND("06",Criterios!A8,1)),(IF(ISNUMBER(((Datos!R31/Datos!Q31)*11)/factor_trimestre),((Datos!R31/Datos!Q31)*11)/factor_trimestre," - ")),(IF(ISNUMBER(((Datos!L31/Datos!K31)*11)/factor_trimestre),((Datos!L31/Datos!K31)*11)/factor_trimestre," - ")))</f>
        <v>5.2588652482269511</v>
      </c>
      <c r="AP31" s="1131" t="str">
        <f>IF(ISNUMBER(Datos!CI31/Datos!CJ31),Datos!CI31/Datos!CJ31," - ")</f>
        <v xml:space="preserve"> - </v>
      </c>
      <c r="AQ31" s="1131">
        <f>IF(OR(ISNUMBER(FIND("01",Criterios!A8,1)),ISNUMBER(FIND("02",Criterios!A8,1)),ISNUMBER(FIND("03",Criterios!A8,1)),ISNUMBER(FIND("04",Criterios!A8,1))),(J31-Y31+K31)/(F31-K31),(I31-Y31+K31)/(F31-K31))</f>
        <v>-0.63471502590673579</v>
      </c>
      <c r="AR31" s="1131">
        <f>IF(ISNUMBER((Datos!P31-Datos!Q31+O31)/(Datos!R31-Datos!P31+Datos!Q31-O31)),(Datos!P31-Datos!Q31+O31)/(Datos!R31-Datos!P31+Datos!Q31-O31)," - ")</f>
        <v>-2.9772329246935202E-2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376.41926978658603</v>
      </c>
      <c r="G33" s="674">
        <f>IF(ISNUMBER(STDEV(G8:G30)),STDEV(G8:G30),"-")</f>
        <v>376.34900216231671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45.704016703755293</v>
      </c>
      <c r="AK33" s="276"/>
      <c r="AL33" s="276">
        <f>IF(ISNUMBER(STDEV(AL8:AL30)),STDEV(AL8:AL30),"-")</f>
        <v>0</v>
      </c>
      <c r="AM33" s="278">
        <f>IF(ISNUMBER(STDEV(AM8:AM30)),STDEV(AM8:AM30),"-")</f>
        <v>0</v>
      </c>
      <c r="AN33" s="660">
        <f>IF(ISNUMBER(STDEV(AN8:AN30)),STDEV(AN8:AN30),"-")</f>
        <v>0</v>
      </c>
      <c r="AO33" s="661">
        <f>IF(ISNUMBER(STDEV(AO8:AO30)),STDEV(AO8:AO30),"-")</f>
        <v>1.1817099230154295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8bePCvPHvW9fxI7J1ssLlg9s8AT4D8kI/fck1aN9YAvorKsWfuQG7D3PRlwJJ7CCZcZbVzdu5Nop48s58xfLQ==" saltValue="oR39amCiT+kaLxDDVhFd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vXbCB2DR+u1A78l4285Sd2DYCR/8pvpqrMmgs0onfeKvE96yDG08Edca0pDY4SvKn1Xn0kFITrpamJQPMbIbg==" saltValue="YzKYRam8WIAtF3apZCH5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1HVuLCGIBWWf8fGmyBWTz3CrfmZgvs/sI+pk28hLEpAE+ZbFyTf0oEL/DHgYYP6qGzx7ZAn1QR48ks0DJSHUQ==" saltValue="YPKBWapS0iwFmz4/10jq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BERGARA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0.21098901098901099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0.14919176042617266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Dg7tmlse3AfnqB94Q+hK1o7sXEm0SIB7G0kaS3EvNwiiucrlb6O0tHT4flzTRJP19Rb9zh8y6WUKrAIc8XozA==" saltValue="OZP1iFClKcz3+w7Gtlv9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fUyY6eR8/KWkYAXQt3eserX9DWjXcjdYHGm28Wazsw6qZ0Ew4b5OAuMDBj1tP3necWNf0NtZWCQTRUhEyGqsQ==" saltValue="E2mUSzG8M+HrDdoqmTXx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BERGARA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13</v>
      </c>
      <c r="F10" s="452">
        <f>IF(ISNUMBER(E10/B10),E10/B10," - ")</f>
        <v>13</v>
      </c>
      <c r="G10" s="451">
        <f>IF(ISNUMBER(Datos!K10),Datos!K10," - ")</f>
        <v>23</v>
      </c>
      <c r="H10" s="452">
        <f>IF(ISNUMBER(G10/B10),G10/B10," - ")</f>
        <v>23</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627</v>
      </c>
      <c r="D12" s="452">
        <f>IF(ISNUMBER(C12/Datos!BH12),C12/Datos!BH12," - ")</f>
        <v>156.75</v>
      </c>
      <c r="E12" s="451">
        <f>IF(ISNUMBER(IF(J_V="SI",Datos!J12,Datos!J12+Datos!Z12)),IF(J_V="SI",Datos!J12,Datos!J12+Datos!Z12)," - ")</f>
        <v>527</v>
      </c>
      <c r="F12" s="452">
        <f>IF(ISNUMBER(E12/B12),E12/B12," - ")</f>
        <v>131.75</v>
      </c>
      <c r="G12" s="451">
        <f>IF(ISNUMBER(IF(J_V="SI",Datos!K12,Datos!K12+Datos!AA12)),IF(J_V="SI",Datos!K12,Datos!K12+Datos!AA12)," - ")</f>
        <v>432</v>
      </c>
      <c r="H12" s="452">
        <f>IF(ISNUMBER(G12/B12),G12/B12," - ")</f>
        <v>108</v>
      </c>
      <c r="I12" s="451">
        <f>IF(ISNUMBER(IF(J_V="SI",Datos!L12,Datos!L12+Datos!AB12)),IF(J_V="SI",Datos!L12,Datos!L12+Datos!AB12)," - ")</f>
        <v>711</v>
      </c>
      <c r="J12" s="452">
        <f>IF(ISNUMBER(I12/B12),I12/B12," - ")</f>
        <v>177.75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656</v>
      </c>
      <c r="D14" s="1147" t="str">
        <f>IF(ISNUMBER(C14/Datos!BI14),C14/Datos!BI14," - ")</f>
        <v xml:space="preserve"> - </v>
      </c>
      <c r="E14" s="1146">
        <f>SUBTOTAL(9,E8:E13)</f>
        <v>540</v>
      </c>
      <c r="F14" s="1147">
        <f>IF(ISNUMBER(E14/B14),E14/B14," - ")</f>
        <v>135</v>
      </c>
      <c r="G14" s="1146">
        <f>SUBTOTAL(9,G8:G13)</f>
        <v>455</v>
      </c>
      <c r="H14" s="1147">
        <f>IF(ISNUMBER(G14/B14),G14/B14," - ")</f>
        <v>113.75</v>
      </c>
      <c r="I14" s="1146">
        <f>SUBTOTAL(9,I8:I13)</f>
        <v>730</v>
      </c>
      <c r="J14" s="1147">
        <f>IF(ISNUMBER(I14/B14),I14/B14," - ")</f>
        <v>182.5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743</v>
      </c>
      <c r="D17" s="452">
        <f>IF(ISNUMBER(C17/Datos!BH17),C17/Datos!BH17," - ")</f>
        <v>185.75</v>
      </c>
      <c r="E17" s="451">
        <f>IF(ISNUMBER(IF(D_I="SI",Datos!J17,Datos!J17+Datos!AD17)),IF(D_I="SI",Datos!J17,Datos!J17+Datos!AD17)," - ")</f>
        <v>330</v>
      </c>
      <c r="F17" s="452">
        <f>IF(ISNUMBER(E17/B17),E17/B17," - ")</f>
        <v>82.5</v>
      </c>
      <c r="G17" s="451">
        <f>IF(ISNUMBER(IF(D_I="SI",Datos!K17,Datos!K17+Datos!AE17)),IF(D_I="SI",Datos!K17,Datos!K17+Datos!AE17)," - ")</f>
        <v>386</v>
      </c>
      <c r="H17" s="452">
        <f>IF(ISNUMBER(G17/B17),G17/B17," - ")</f>
        <v>96.5</v>
      </c>
      <c r="I17" s="451">
        <f>IF(ISNUMBER(IF(D_I="SI",Datos!L17,Datos!L17+Datos!AF17)),IF(D_I="SI",Datos!L17,Datos!L17+Datos!AF17)," - ")</f>
        <v>687</v>
      </c>
      <c r="J17" s="452">
        <f>IF(ISNUMBER(I17/B17),I17/B17," - ")</f>
        <v>171.75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111</v>
      </c>
      <c r="D18" s="452">
        <f>IF(ISNUMBER(C18/Datos!BH18),C18/Datos!BH18," - ")</f>
        <v>111</v>
      </c>
      <c r="E18" s="451">
        <f>IF(ISNUMBER(IF(D_I="SI",Datos!J18,Datos!J18+Datos!AD18)),IF(D_I="SI",Datos!J18,Datos!J18+Datos!AD18)," - ")</f>
        <v>53</v>
      </c>
      <c r="F18" s="452">
        <f>IF(ISNUMBER(E18/B18),E18/B18," - ")</f>
        <v>53</v>
      </c>
      <c r="G18" s="451">
        <f>IF(ISNUMBER(IF(D_I="SI",Datos!K18,Datos!K18+Datos!AE18)),IF(D_I="SI",Datos!K18,Datos!K18+Datos!AE18)," - ")</f>
        <v>81</v>
      </c>
      <c r="H18" s="452">
        <f>IF(ISNUMBER(G18/B18),G18/B18," - ")</f>
        <v>81</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854</v>
      </c>
      <c r="D23" s="1147" t="str">
        <f>IF(ISNUMBER(C23/Datos!BI23),C23/Datos!BI23," - ")</f>
        <v xml:space="preserve"> - </v>
      </c>
      <c r="E23" s="1146">
        <f>SUBTOTAL(9,E15:E22)</f>
        <v>383</v>
      </c>
      <c r="F23" s="1147">
        <f>IF(ISNUMBER(E23/B23),E23/B23," - ")</f>
        <v>95.75</v>
      </c>
      <c r="G23" s="1146">
        <f>SUBTOTAL(9,G15:G22)</f>
        <v>467</v>
      </c>
      <c r="H23" s="1147">
        <f>IF(ISNUMBER(G23/B23),G23/B23," - ")</f>
        <v>116.75</v>
      </c>
      <c r="I23" s="1146">
        <f>SUBTOTAL(9,I15:I22)</f>
        <v>770</v>
      </c>
      <c r="J23" s="1147">
        <f>IF(ISNUMBER(I23/B23),I23/B23," - ")</f>
        <v>192.5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1510</v>
      </c>
      <c r="D31" s="1085" t="str">
        <f>IF(ISNUMBER(C31/Datos!BI31),C31/Datos!BI31," - ")</f>
        <v xml:space="preserve"> - </v>
      </c>
      <c r="E31" s="1084">
        <f>SUBTOTAL(9,E9:E30)</f>
        <v>923</v>
      </c>
      <c r="F31" s="1085">
        <f>IF(ISNUMBER(E31/B31),E31/B31," - ")</f>
        <v>230.75</v>
      </c>
      <c r="G31" s="1084">
        <f>SUBTOTAL(9,G9:G30)</f>
        <v>922</v>
      </c>
      <c r="H31" s="1085">
        <f>IF(ISNUMBER(G31/B31),G31/B31," - ")</f>
        <v>230.5</v>
      </c>
      <c r="I31" s="1084">
        <f>SUBTOTAL(9,I9:I30)</f>
        <v>1500</v>
      </c>
      <c r="J31" s="1085">
        <f>IF(ISNUMBER(I31/B31),I31/B31," - ")</f>
        <v>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daHGXWkHJVCBPiLFnjUQLwIUJDXGB89CqYYKRNyMQbe0VQ8WpgGthcTEGuiJNdZThCtEuImF7VBhYH0zDMIzw==" saltValue="4DcnxzdYhstC/1bF3xj/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BERGARA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2.4782608695652177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90</v>
      </c>
      <c r="AM12" s="914">
        <f>IF(ISNUMBER(Datos!N12+DatosP!N17),Datos!N12+DatosP!N17," - ")</f>
        <v>121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4.9374999999999991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-3.4378159757330634E-2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81</v>
      </c>
      <c r="AE14" s="1257">
        <f t="shared" si="1"/>
        <v>0</v>
      </c>
      <c r="AF14" s="1257">
        <f t="shared" si="1"/>
        <v>19</v>
      </c>
      <c r="AG14" s="1257">
        <f t="shared" si="1"/>
        <v>0</v>
      </c>
      <c r="AH14" s="1257">
        <f t="shared" si="1"/>
        <v>955</v>
      </c>
      <c r="AI14" s="1257">
        <f t="shared" si="1"/>
        <v>0</v>
      </c>
      <c r="AJ14" s="1257">
        <f t="shared" si="1"/>
        <v>0</v>
      </c>
      <c r="AK14" s="1257">
        <f t="shared" si="1"/>
        <v>0</v>
      </c>
      <c r="AL14" s="1257">
        <f t="shared" si="1"/>
        <v>96</v>
      </c>
      <c r="AM14" s="1257">
        <f t="shared" si="1"/>
        <v>121</v>
      </c>
      <c r="AN14" s="1257">
        <f t="shared" si="1"/>
        <v>0</v>
      </c>
      <c r="AO14" s="1257">
        <f t="shared" si="1"/>
        <v>0</v>
      </c>
      <c r="AP14" s="1262">
        <f>IF(ISNUMBER(((Datos!L14/Datos!K14)*11)/factor_trimestre),((Datos!L14/Datos!K14)*11)/factor_trimestre," - ")</f>
        <v>5.6437994722955143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-0.7931034482758621</v>
      </c>
      <c r="AU14" s="1257" t="str">
        <f>IF(ISNUMBER((DatosP!#REF!-DatosP!#REF!+DatosP!#REF!)/(DatosP!#REF!+DatosP!#REF!-DatosP!#REF!-DatosP!#REF!)),(DatosP!#REF!-DatosP!#REF!+DatosP!#REF!)/(DatosP!#REF!+DatosP!#REF!-DatosP!#REF!-DatosP!#REF!)," - ")</f>
        <v xml:space="preserve"> - </v>
      </c>
      <c r="AV14" s="1263">
        <f>SUBTOTAL(9,AV9:AV13)</f>
        <v>-3.4378159757330634E-2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4.9464668094218416</v>
      </c>
      <c r="AQ23" s="1262">
        <f>IF(ISNUMBER(((Datos!M23/Datos!L23)*11)/factor_trimestre),((Datos!M23/Datos!L23)*11)/factor_trimestre," - ")</f>
        <v>0.33506493506493507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-7.3529411764705881E-3</v>
      </c>
      <c r="AW23" s="1265">
        <f>IF(ISNUMBER((Datos!Q23-Datos!R23)/(Datos!S23-Datos!Q23+Datos!R23)),(Datos!Q23-Datos!R23)/(Datos!S23-Datos!Q23+Datos!R23)," - ")</f>
        <v>-0.15239477503628446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81</v>
      </c>
      <c r="AE31" s="1284">
        <f t="shared" si="9"/>
        <v>0</v>
      </c>
      <c r="AF31" s="1285">
        <f t="shared" si="9"/>
        <v>19</v>
      </c>
      <c r="AG31" s="1285">
        <f t="shared" si="9"/>
        <v>0</v>
      </c>
      <c r="AH31" s="1285">
        <f t="shared" si="9"/>
        <v>955</v>
      </c>
      <c r="AI31" s="1285">
        <f t="shared" si="9"/>
        <v>0</v>
      </c>
      <c r="AJ31" s="1286">
        <f t="shared" si="9"/>
        <v>0</v>
      </c>
      <c r="AK31" s="1286">
        <f t="shared" si="9"/>
        <v>0</v>
      </c>
      <c r="AL31" s="1278">
        <f t="shared" si="9"/>
        <v>96</v>
      </c>
      <c r="AM31" s="1278">
        <f t="shared" si="9"/>
        <v>121</v>
      </c>
      <c r="AN31" s="1278">
        <f t="shared" si="9"/>
        <v>0</v>
      </c>
      <c r="AO31" s="1278">
        <f t="shared" si="9"/>
        <v>0</v>
      </c>
      <c r="AP31" s="1278">
        <f>IF(ISNUMBER(((Datos!L31/Datos!K31)*11)/factor_trimestre),((Datos!L31/Datos!K31)*11)/factor_trimestre," - ")</f>
        <v>5.2588652482269511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-0.7931034482758621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-2.9772329246935202E-2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47.34553833256097</v>
      </c>
      <c r="AM33" s="1006"/>
      <c r="AN33" s="1006">
        <f>IF(ISNUMBER(STDEV(AN8:AN30)),STDEV(AN8:AN30),"-")</f>
        <v>0</v>
      </c>
      <c r="AO33" s="1012">
        <f>IF(ISNUMBER(STDEV(AO8:AO30)),STDEV(AO8:AO30),"-")</f>
        <v>0</v>
      </c>
      <c r="AP33" s="1065">
        <f>IF(ISNUMBER(STDEV(AP8:AP30)),STDEV(AP8:AP30),"-")</f>
        <v>1.3888167775282505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b2KIXrUyOXuYOJUmYAFVdoVhsjTzubH3zj5QATzcL+IoEiXMET79KKkra1fJDafj0E9xjeJDq2qpQFKagXHQ==" saltValue="k3rcNEfPXQz/S09lrKhF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BERGARA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Dq1RhmLoYxOKNeMO/D8Bt45wmJgS20VdZkopBk8HVudsaO0BW1CQDNuujdBKQV3FA3BYTNGGvtXG7437Haydw==" saltValue="m/fkEP+iA6Aqlul2FuOE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BERGARA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90</v>
      </c>
      <c r="E12" s="452">
        <f t="shared" si="0"/>
        <v>22.5</v>
      </c>
      <c r="F12" s="451">
        <f>IF(ISNUMBER(Datos!N12),Datos!N12," - ")</f>
        <v>121</v>
      </c>
      <c r="G12" s="452">
        <f t="shared" si="1"/>
        <v>30.25</v>
      </c>
      <c r="H12" s="451">
        <f>IF(ISNUMBER(Datos!O12),Datos!O12," - ")</f>
        <v>95</v>
      </c>
      <c r="I12" s="452">
        <f t="shared" si="2"/>
        <v>23.75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96</v>
      </c>
      <c r="E14" s="1147">
        <f t="shared" si="0"/>
        <v>19.2</v>
      </c>
      <c r="F14" s="1146">
        <f>SUBTOTAL(9,F9:F13)</f>
        <v>121</v>
      </c>
      <c r="G14" s="1147">
        <f t="shared" si="1"/>
        <v>24.2</v>
      </c>
      <c r="H14" s="1146">
        <f>SUBTOTAL(9,H9:H13)</f>
        <v>95</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80</v>
      </c>
      <c r="E17" s="452">
        <f t="shared" si="3"/>
        <v>20</v>
      </c>
      <c r="F17" s="451">
        <f>IF(ISNUMBER(Datos!N17),Datos!N17," - ")</f>
        <v>202</v>
      </c>
      <c r="G17" s="452">
        <f t="shared" si="4"/>
        <v>50.5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86</v>
      </c>
      <c r="E23" s="1147">
        <f t="shared" si="3"/>
        <v>17.2</v>
      </c>
      <c r="F23" s="1146">
        <f>SUBTOTAL(9,F16:F22)</f>
        <v>256</v>
      </c>
      <c r="G23" s="1147">
        <f t="shared" si="4"/>
        <v>51.2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182</v>
      </c>
      <c r="E31" s="1085">
        <f>IF(ISNUMBER(D31/B31),D31/B31," - ")</f>
        <v>45.5</v>
      </c>
      <c r="F31" s="1084">
        <f>SUBTOTAL(9,F8:F30)</f>
        <v>377</v>
      </c>
      <c r="G31" s="1085">
        <f>IF(ISNUMBER(F31/B31),F31/B31," - ")</f>
        <v>94.25</v>
      </c>
      <c r="H31" s="1084">
        <f>SUBTOTAL(9,H8:H30)</f>
        <v>95</v>
      </c>
      <c r="I31" s="1085">
        <f>IF(ISNUMBER(H31/B31),H31/B31," - ")</f>
        <v>23.75</v>
      </c>
    </row>
    <row r="34" spans="1:1">
      <c r="A34" s="439" t="str">
        <f>Criterios!A4</f>
        <v>Fecha Informe: 06 may. 2023</v>
      </c>
    </row>
    <row r="39" spans="1:1">
      <c r="A39" s="462"/>
    </row>
  </sheetData>
  <sheetProtection algorithmName="SHA-512" hashValue="YjVK8jDI1OTLL7zG/L9hqqLbdwjQ/AzEV+pt3c1qnrhzGY8YLaGXiB0nFx4B9rCOTdN4+iNwxoLw2h/9wGRK7g==" saltValue="EFPM7yOVA/vrwJm4n3KE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BERGARA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81</v>
      </c>
      <c r="D12" s="456">
        <f>IF(ISNUMBER(Datos!R12),Datos!R12," - ")</f>
        <v>955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81</v>
      </c>
      <c r="D14" s="1148">
        <f>SUBTOTAL(9,D9:D13)</f>
        <v>973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30</v>
      </c>
      <c r="D17" s="456">
        <f>IF(ISNUMBER(Datos!R17),Datos!R17," - ")</f>
        <v>132</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30</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111</v>
      </c>
      <c r="D31" s="1090">
        <f>SUBTOTAL(9,D8:D30)</f>
        <v>1108</v>
      </c>
    </row>
    <row r="32" spans="1:4" ht="7.5" customHeight="1"/>
    <row r="33" spans="1:1" ht="6" customHeight="1"/>
    <row r="34" spans="1:1">
      <c r="A34" s="439" t="str">
        <f>Criterios!A4</f>
        <v>Fecha Informe: 06 may. 2023</v>
      </c>
    </row>
    <row r="39" spans="1:1">
      <c r="A39" s="462"/>
    </row>
  </sheetData>
  <sheetProtection algorithmName="SHA-512" hashValue="iEkHPMnsK39CL5zWNsPxobZQD9a06SNCzWMC0TjTBKD2BCF3ET9BrjE+1RUFCjaS3N0abUFePj26W2ty9e1siQ==" saltValue="WqBsIQUtxiJmDDWBs8V6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BERGARA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v>
      </c>
      <c r="C10" s="515">
        <f>IF(ISNUMBER((Datos!J10-Datos!T10)/Datos!T10),(Datos!J10-Datos!T10)/Datos!T10," - ")</f>
        <v>8.3333333333333329E-2</v>
      </c>
      <c r="D10" s="515">
        <f>IF(ISNUMBER((Datos!K10-Datos!U10)/Datos!U10),(Datos!K10-Datos!U10)/Datos!U10," - ")</f>
        <v>2.2857142857142856</v>
      </c>
      <c r="E10" s="515">
        <f>IF(ISNUMBER((Datos!L10-Datos!V10)/Datos!V10),(Datos!L10-Datos!V10)/Datos!V10," - ")</f>
        <v>-0.24</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2.0329670329670324</v>
      </c>
      <c r="I10" s="515">
        <f>IF(ISNUMBER(((NºAsuntos!I10/NºAsuntos!G10)-Datos!BE10)/Datos!BE10),((NºAsuntos!I10/NºAsuntos!G10)-Datos!BE10)/Datos!BE10," - ")</f>
        <v>-0.768695652173913</v>
      </c>
      <c r="J10" s="521">
        <f>IF(ISNUMBER((('Resol  Asuntos'!D10/NºAsuntos!G10)-Datos!BF10)/Datos!BF10),(('Resol  Asuntos'!D10/NºAsuntos!G10)-Datos!BF10)/Datos!BF10," - ")</f>
        <v>-0.63478260869565217</v>
      </c>
      <c r="K10" s="522">
        <f>IF(ISNUMBER((((NºAsuntos!C10+NºAsuntos!E10)/NºAsuntos!G10)-Datos!BG10)/Datos!BG10),(((NºAsuntos!C10+NºAsuntos!E10)/NºAsuntos!G10)-Datos!BG10)/Datos!BG10," - ")</f>
        <v>-0.60054347826086951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0.14835164835164835</v>
      </c>
      <c r="C12" s="515">
        <f>IF(ISNUMBER(
   IF(J_V="SI",(Datos!J12-Datos!T12)/Datos!T12,(Datos!J12+Datos!Z12-(Datos!T12+Datos!AH12))/(Datos!T12+Datos!AH12))
     ),IF(J_V="SI",(Datos!J12-Datos!T12)/Datos!T12,(Datos!J12+Datos!Z12-(Datos!T12+Datos!AH12))/(Datos!T12+Datos!AH12))," - ")</f>
        <v>0.50571428571428567</v>
      </c>
      <c r="D12" s="515">
        <f>IF(ISNUMBER(
   IF(J_V="SI",(Datos!K12-Datos!U12)/Datos!U12,(Datos!K12+Datos!AA12-(Datos!U12+Datos!AI12))/(Datos!U12+Datos!AI12))
     ),IF(J_V="SI",(Datos!K12-Datos!U12)/Datos!U12,(Datos!K12+Datos!AA12-(Datos!U12+Datos!AI12))/(Datos!U12+Datos!AI12))," - ")</f>
        <v>0.27058823529411763</v>
      </c>
      <c r="E12" s="515">
        <f>IF(ISNUMBER(
   IF(J_V="SI",(Datos!L12-Datos!V12)/Datos!V12,(Datos!L12+Datos!AB12-(Datos!V12+Datos!AJ12))/(Datos!V12+Datos!AJ12))
     ),IF(J_V="SI",(Datos!L12-Datos!V12)/Datos!V12,(Datos!L12+Datos!AB12-(Datos!V12+Datos!AJ12))/(Datos!V12+Datos!AJ12))," - ")</f>
        <v>0.27877697841726617</v>
      </c>
      <c r="F12" s="515">
        <f>IF(ISNUMBER((Datos!M12-Datos!W12)/Datos!W12),(Datos!M12-Datos!W12)/Datos!W12," - ")</f>
        <v>-3.2258064516129031E-2</v>
      </c>
      <c r="G12" s="516">
        <f>IF(ISNUMBER((Datos!N12-Datos!X12)/Datos!X12),(Datos!N12-Datos!X12)/Datos!X12," - ")</f>
        <v>2.5423728813559324E-2</v>
      </c>
      <c r="H12" s="514">
        <f>IF(ISNUMBER(((NºAsuntos!G12/NºAsuntos!E12)-Datos!BD12)/Datos!BD12),((NºAsuntos!G12/NºAsuntos!E12)-Datos!BD12)/Datos!BD12," - ")</f>
        <v>-0.15615582096216099</v>
      </c>
      <c r="I12" s="515">
        <f>IF(ISNUMBER(((NºAsuntos!I12/NºAsuntos!G12)-Datos!BE12)/Datos!BE12),((NºAsuntos!I12/NºAsuntos!G12)-Datos!BE12)/Datos!BE12," - ")</f>
        <v>6.4448441247002171E-3</v>
      </c>
      <c r="J12" s="521">
        <f>IF(ISNUMBER((('Resol  Asuntos'!D12/NºAsuntos!G12)-Datos!BF12)/Datos!BF12),(('Resol  Asuntos'!D12/NºAsuntos!G12)-Datos!BF12)/Datos!BF12," - ")</f>
        <v>-0.39971751412429374</v>
      </c>
      <c r="K12" s="522">
        <f>IF(ISNUMBER((((NºAsuntos!C12+NºAsuntos!E12)/NºAsuntos!G12)-Datos!BG12)/Datos!BG12),(((NºAsuntos!C12+NºAsuntos!E12)/NºAsuntos!G12)-Datos!BG12)/Datos!BG12," - ")</f>
        <v>1.3661541005291013E-2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0.15901060070671377</v>
      </c>
      <c r="C14" s="1152">
        <f>IF(ISNUMBER(
   IF(J_V="SI",(Datos!J14-Datos!T14)/Datos!T14,(Datos!J14+Datos!Z14-(Datos!T14+Datos!AH14))/(Datos!T14+Datos!AH14))
     ),IF(J_V="SI",(Datos!J14-Datos!T14)/Datos!T14,(Datos!J14+Datos!Z14-(Datos!T14+Datos!AH14))/(Datos!T14+Datos!AH14))," - ")</f>
        <v>0.49171270718232046</v>
      </c>
      <c r="D14" s="1152">
        <f>IF(ISNUMBER(
   IF(J_V="SI",(Datos!K14-Datos!U14)/Datos!U14,(Datos!K14+Datos!AA14-(Datos!U14+Datos!AI14))/(Datos!U14+Datos!AI14))
     ),IF(J_V="SI",(Datos!K14-Datos!U14)/Datos!U14,(Datos!K14+Datos!AA14-(Datos!U14+Datos!AI14))/(Datos!U14+Datos!AI14))," - ")</f>
        <v>0.31123919308357351</v>
      </c>
      <c r="E14" s="1152">
        <f>IF(ISNUMBER(
   IF(J_V="SI",(Datos!L14-Datos!V14)/Datos!V14,(Datos!L14+Datos!AB14-(Datos!V14+Datos!AJ14))/(Datos!V14+Datos!AJ14))
     ),IF(J_V="SI",(Datos!L14-Datos!V14)/Datos!V14,(Datos!L14+Datos!AB14-(Datos!V14+Datos!AJ14))/(Datos!V14+Datos!AJ14))," - ")</f>
        <v>0.25645438898450945</v>
      </c>
      <c r="F14" s="1153">
        <f>IF(ISNUMBER((Datos!M14-Datos!W14)/Datos!W14),(Datos!M14-Datos!W14)/Datos!W14," - ")</f>
        <v>-2.0408163265306121E-2</v>
      </c>
      <c r="G14" s="1154">
        <f>IF(ISNUMBER((Datos!N14-Datos!X14)/Datos!X14),(Datos!N14-Datos!X14)/Datos!X14," - ")</f>
        <v>2.5423728813559324E-2</v>
      </c>
      <c r="H14" s="1154">
        <f>IF(ISNUMBER(((NºAsuntos!G14/NºAsuntos!E14)-Datos!BD14)/Datos!BD14),((NºAsuntos!G14/NºAsuntos!E14)-Datos!BD14)/Datos!BD14," - ")</f>
        <v>-0.12098409648841933</v>
      </c>
      <c r="I14" s="1154">
        <f>IF(ISNUMBER(((NºAsuntos!I14/NºAsuntos!G14)-Datos!BE14)/Datos!BE14),((NºAsuntos!I14/NºAsuntos!G14)-Datos!BE14)/Datos!BE14," - ")</f>
        <v>-4.1780938510714752E-2</v>
      </c>
      <c r="J14" s="1154">
        <f>IF(ISNUMBER((('Resol  Asuntos'!D14/NºAsuntos!G14)-Datos!BF14)/Datos!BF14),(('Resol  Asuntos'!D14/NºAsuntos!G14)-Datos!BF14)/Datos!BF14," - ")</f>
        <v>-0.40477083891718041</v>
      </c>
      <c r="K14" s="1154">
        <f>IF(ISNUMBER((((NºAsuntos!C14+NºAsuntos!E14)/NºAsuntos!G14)-Datos!BG14)/Datos!BG14),(((NºAsuntos!C14+NºAsuntos!E14)/NºAsuntos!G14)-Datos!BG14)/Datos!BG14," - ")</f>
        <v>-1.7118226600985168E-2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0.45401174168297453</v>
      </c>
      <c r="C17" s="515">
        <f>IF(ISNUMBER(
   IF(D_I="SI",(Datos!J17-Datos!T17)/Datos!T17,(Datos!J17+Datos!AD17-(Datos!T17+Datos!AL17))/(Datos!T17+Datos!AL17))
     ),IF(D_I="SI",(Datos!J17-Datos!T17)/Datos!T17,(Datos!J17+Datos!AD17-(Datos!T17+Datos!AL17))/(Datos!T17+Datos!AL17))," - ")</f>
        <v>-2.0771513353115726E-2</v>
      </c>
      <c r="D17" s="515">
        <f>IF(ISNUMBER(
   IF(D_I="SI",(Datos!K17-Datos!U17)/Datos!U17,(Datos!K17+Datos!AE17-(Datos!U17+Datos!AM17))/(Datos!U17+Datos!AM17))
     ),IF(D_I="SI",(Datos!K17-Datos!U17)/Datos!U17,(Datos!K17+Datos!AE17-(Datos!U17+Datos!AM17))/(Datos!U17+Datos!AM17))," - ")</f>
        <v>1.1685393258426966</v>
      </c>
      <c r="E17" s="515">
        <f>IF(ISNUMBER(
   IF(D_I="SI",(Datos!L17-Datos!V17)/Datos!V17,(Datos!L17+Datos!AF17-(Datos!V17+Datos!AN17))/(Datos!V17+Datos!AN17))
     ),IF(D_I="SI",(Datos!L17-Datos!V17)/Datos!V17,(Datos!L17+Datos!AF17-(Datos!V17+Datos!AN17))/(Datos!V17+Datos!AN17))," - ")</f>
        <v>2.3845007451564829E-2</v>
      </c>
      <c r="F17" s="515">
        <f>IF(ISNUMBER((Datos!M17-Datos!W17)/Datos!W17),(Datos!M17-Datos!W17)/Datos!W17," - ")</f>
        <v>8.1081081081081086E-2</v>
      </c>
      <c r="G17" s="516">
        <f>IF(ISNUMBER((Datos!N17-Datos!X17)/Datos!X17),(Datos!N17-Datos!X17)/Datos!X17," - ")</f>
        <v>3.5909090909090908</v>
      </c>
      <c r="H17" s="514">
        <f>IF(ISNUMBER(((NºAsuntos!G17/NºAsuntos!E17)-Datos!BD17)/Datos!BD17),((NºAsuntos!G17/NºAsuntos!E17)-Datos!BD17)/Datos!BD17," - ")</f>
        <v>1.2145386448757234</v>
      </c>
      <c r="I17" s="515">
        <f>IF(ISNUMBER(((NºAsuntos!I17/NºAsuntos!G17)-Datos!BE17)/Datos!BE17),((NºAsuntos!I17/NºAsuntos!G17)-Datos!BE17)/Datos!BE17," - ")</f>
        <v>-0.52786421936171368</v>
      </c>
      <c r="J17" s="521">
        <f>IF(ISNUMBER((('Resol  Asuntos'!D17/NºAsuntos!G17)-Datos!BF17)/Datos!BF17),(('Resol  Asuntos'!D17/NºAsuntos!G17)-Datos!BF17)/Datos!BF17," - ")</f>
        <v>-0.50147038229939789</v>
      </c>
      <c r="K17" s="522">
        <f>IF(ISNUMBER((((NºAsuntos!C17+NºAsuntos!E17)/NºAsuntos!G17)-Datos!BG17)/Datos!BG17),(((NºAsuntos!C17+NºAsuntos!E17)/NºAsuntos!G17)-Datos!BG17)/Datos!BG17," - ")</f>
        <v>-0.41650576791475219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0.52054794520547942</v>
      </c>
      <c r="C18" s="515">
        <f>IF(ISNUMBER(
   IF(D_I="SI",(Datos!J18-Datos!T18)/Datos!T18,(Datos!J18+Datos!AD18-(Datos!T18+Datos!AL18))/(Datos!T18+Datos!AL18))
     ),IF(D_I="SI",(Datos!J18-Datos!T18)/Datos!T18,(Datos!J18+Datos!AD18-(Datos!T18+Datos!AL18))/(Datos!T18+Datos!AL18))," - ")</f>
        <v>-0.10169491525423729</v>
      </c>
      <c r="D18" s="515">
        <f>IF(ISNUMBER(
   IF(D_I="SI",(Datos!K18-Datos!U18)/Datos!U18,(Datos!K18+Datos!AE18-(Datos!U18+Datos!AM18))/(Datos!U18+Datos!AM18))
     ),IF(D_I="SI",(Datos!K18-Datos!U18)/Datos!U18,(Datos!K18+Datos!AE18-(Datos!U18+Datos!AM18))/(Datos!U18+Datos!AM18))," - ")</f>
        <v>1.131578947368421</v>
      </c>
      <c r="E18" s="515">
        <f>IF(ISNUMBER(
   IF(D_I="SI",(Datos!L18-Datos!V18)/Datos!V18,(Datos!L18+Datos!AF18-(Datos!V18+Datos!AN18))/(Datos!V18+Datos!AN18))
     ),IF(D_I="SI",(Datos!L18-Datos!V18)/Datos!V18,(Datos!L18+Datos!AF18-(Datos!V18+Datos!AN18))/(Datos!V18+Datos!AN18))," - ")</f>
        <v>-0.11702127659574468</v>
      </c>
      <c r="F18" s="515">
        <f>IF(ISNUMBER((Datos!M18-Datos!W18)/Datos!W18),(Datos!M18-Datos!W18)/Datos!W18," - ")</f>
        <v>-0.4</v>
      </c>
      <c r="G18" s="516">
        <f>IF(ISNUMBER((Datos!N18-Datos!X18)/Datos!X18),(Datos!N18-Datos!X18)/Datos!X18," - ")</f>
        <v>2</v>
      </c>
      <c r="H18" s="514">
        <f>IF(ISNUMBER(((NºAsuntos!G18/NºAsuntos!E18)-Datos!BD18)/Datos!BD18),((NºAsuntos!G18/NºAsuntos!E18)-Datos!BD18)/Datos!BD18," - ")</f>
        <v>1.3728897715988087</v>
      </c>
      <c r="I18" s="515">
        <f>IF(ISNUMBER(((NºAsuntos!I18/NºAsuntos!G18)-Datos!BE18)/Datos!BE18),((NºAsuntos!I18/NºAsuntos!G18)-Datos!BE18)/Datos!BE18," - ")</f>
        <v>-0.58576306803257161</v>
      </c>
      <c r="J18" s="521">
        <f>IF(ISNUMBER((('Resol  Asuntos'!D18/NºAsuntos!G18)-Datos!BF18)/Datos!BF18),(('Resol  Asuntos'!D18/NºAsuntos!G18)-Datos!BF18)/Datos!BF18," - ")</f>
        <v>-0.71851851851851856</v>
      </c>
      <c r="K18" s="522">
        <f>IF(ISNUMBER((((NºAsuntos!C18+NºAsuntos!E18)/NºAsuntos!G18)-Datos!BG18)/Datos!BG18),(((NºAsuntos!C18+NºAsuntos!E18)/NºAsuntos!G18)-Datos!BG18)/Datos!BG18," - ")</f>
        <v>-0.4171343060231949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0.46232876712328769</v>
      </c>
      <c r="C23" s="1152">
        <f>IF(ISNUMBER(
   IF(Criterios!B14="SI",(Datos!J23-Datos!T23)/Datos!T23,(Datos!J23+Datos!AD23-(Datos!T23+Datos!AL23))/(Datos!T23+Datos!AL23))
     ),IF(Criterios!B14="SI",(Datos!J23-Datos!T23)/Datos!T23,(Datos!J23+Datos!AD23-(Datos!T23+Datos!AL23))/(Datos!T23+Datos!AL23))," - ")</f>
        <v>-3.2828282828282832E-2</v>
      </c>
      <c r="D23" s="1152">
        <f>IF(ISNUMBER(
   IF(Criterios!B14="SI",(Datos!K23-Datos!U23)/Datos!U23,(Datos!K23+Datos!AE23-(Datos!U23+Datos!AM23))/(Datos!U23+Datos!AM23))
     ),IF(Criterios!B14="SI",(Datos!K23-Datos!U23)/Datos!U23,(Datos!K23+Datos!AE23-(Datos!U23+Datos!AM23))/(Datos!U23+Datos!AM23))," - ")</f>
        <v>1.162037037037037</v>
      </c>
      <c r="E23" s="1152">
        <f>IF(ISNUMBER(
   IF(Criterios!B14="SI",(Datos!L23-Datos!V23)/Datos!V23,(Datos!L23+Datos!AF23-(Datos!V23+Datos!AN23))/(Datos!V23+Datos!AN23))
     ),IF(Criterios!B14="SI",(Datos!L23-Datos!V23)/Datos!V23,(Datos!L23+Datos!AF23-(Datos!V23+Datos!AN23))/(Datos!V23+Datos!AN23))," - ")</f>
        <v>6.5359477124183009E-3</v>
      </c>
      <c r="F23" s="1153">
        <f>IF(ISNUMBER((Datos!M23-Datos!W23)/Datos!W23),(Datos!M23-Datos!W23)/Datos!W23," - ")</f>
        <v>2.3809523809523808E-2</v>
      </c>
      <c r="G23" s="1154">
        <f>IF(ISNUMBER((Datos!N23-Datos!X23)/Datos!X23),(Datos!N23-Datos!X23)/Datos!X23," - ")</f>
        <v>3.129032258064516</v>
      </c>
      <c r="H23" s="1154">
        <f>IF(ISNUMBER(((NºAsuntos!G23/NºAsuntos!E23)-Datos!BD23)/Datos!BD23),((NºAsuntos!G23/NºAsuntos!E23)-Datos!BD23)/Datos!BD23," - ")</f>
        <v>1.2354221061792865</v>
      </c>
      <c r="I23" s="1154">
        <f>IF(ISNUMBER(((NºAsuntos!I23/NºAsuntos!G23)-Datos!BE23)/Datos!BE23),((NºAsuntos!I23/NºAsuntos!G23)-Datos!BE23)/Datos!BE23," - ")</f>
        <v>-0.53445018264265021</v>
      </c>
      <c r="J23" s="1154">
        <f>IF(ISNUMBER((('Resol  Asuntos'!D23/NºAsuntos!G23)-Datos!BF23)/Datos!BF23),(('Resol  Asuntos'!D23/NºAsuntos!G23)-Datos!BF23)/Datos!BF23," - ")</f>
        <v>-0.52646069134291829</v>
      </c>
      <c r="K23" s="1154">
        <f>IF(ISNUMBER((((NºAsuntos!C23+NºAsuntos!E23)/NºAsuntos!G23)-Datos!BG23)/Datos!BG23),(((NºAsuntos!C23+NºAsuntos!E23)/NºAsuntos!G23)-Datos!BG23)/Datos!BG23," - ")</f>
        <v>-0.4161779486955382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0.31304347826086959</v>
      </c>
      <c r="C31" s="1092">
        <f>IF(ISNUMBER(
   IF(J_V="SI",(Datos!J31-Datos!T31)/Datos!T31,(Datos!J31+Datos!Z31-(Datos!T31+Datos!AH31))/(Datos!T31+Datos!AH31))
     ),IF(J_V="SI",(Datos!J31-Datos!T31)/Datos!T31,(Datos!J31+Datos!Z31-(Datos!T31+Datos!AH31))/(Datos!T31+Datos!AH31))," - ")</f>
        <v>0.21767810026385223</v>
      </c>
      <c r="D31" s="1092">
        <f>IF(ISNUMBER(
   IF(J_V="SI",(Datos!K31-Datos!U31)/Datos!U31,(Datos!K31+Datos!AA31-(Datos!U31+Datos!AI31))/(Datos!U31+Datos!AI31))
     ),IF(J_V="SI",(Datos!K31-Datos!U31)/Datos!U31,(Datos!K31+Datos!AA31-(Datos!U31+Datos!AI31))/(Datos!U31+Datos!AI31))," - ")</f>
        <v>0.63765541740674958</v>
      </c>
      <c r="E31" s="1092">
        <f>IF(ISNUMBER(
   IF(J_V="SI",(Datos!L31-Datos!V31)/Datos!V31,(Datos!L31+Datos!AB31-(Datos!V31+Datos!AJ31))/(Datos!V31+Datos!AJ31))
     ),IF(J_V="SI",(Datos!L31-Datos!V31)/Datos!V31,(Datos!L31+Datos!AB31-(Datos!V31+Datos!AJ31))/(Datos!V31+Datos!AJ31))," - ")</f>
        <v>0.11441307578008915</v>
      </c>
      <c r="F31" s="1093">
        <f>IF(ISNUMBER((Datos!M31-Datos!W31)/Datos!W31),(Datos!M31-Datos!W31)/Datos!W31," - ")</f>
        <v>0</v>
      </c>
      <c r="G31" s="1094">
        <f>IF(ISNUMBER((Datos!N31-Datos!X31)/Datos!X31),(Datos!N31-Datos!X31)/Datos!X31," - ")</f>
        <v>1.0944444444444446</v>
      </c>
      <c r="H31" s="1095">
        <f>IF(ISNUMBER((Tasas!B31-Datos!BD31)/Datos!BD31),(Tasas!B31-Datos!BD31)/Datos!BD31," - ")</f>
        <v>0.34490011527011505</v>
      </c>
      <c r="I31" s="1096">
        <f>IF(ISNUMBER((Tasas!C31-Datos!BE31)/Datos!BE31),(Tasas!C31-Datos!BE31)/Datos!BE31," - ")</f>
        <v>-0.31950698301063979</v>
      </c>
      <c r="J31" s="1097">
        <f>IF(ISNUMBER((Tasas!D31-Datos!BF31)/Datos!BF31),(Tasas!D31-Datos!BF31)/Datos!BF31," - ")</f>
        <v>-0.46311840464438786</v>
      </c>
      <c r="K31" s="1097">
        <f>IF(ISNUMBER((Tasas!E31-Datos!BG31)/Datos!BG31),(Tasas!E31-Datos!BG31)/Datos!BG31," - ")</f>
        <v>-0.22135192840284315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TOpLX5r9c7KFMbMObZ7CbQVXq2jQ5EMepjsN3QPaO6JG/Y3eN14EEQ4t/lrUAdpALVKoEQX/X9FBvGUHmok9Q==" saltValue="Y7lunR5W4PZ/h72k4IBH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BERGARA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1.7692307692307692</v>
      </c>
      <c r="C10" s="498">
        <f>IF(ISNUMBER(NºAsuntos!I10/NºAsuntos!G10),NºAsuntos!I10/NºAsuntos!G10," - ")</f>
        <v>0.82608695652173914</v>
      </c>
      <c r="D10" s="499">
        <f>IF(ISNUMBER('Resol  Asuntos'!D10/NºAsuntos!G10),'Resol  Asuntos'!D10/NºAsuntos!G10," - ")</f>
        <v>0.2608695652173913</v>
      </c>
      <c r="E10" s="500">
        <f>IF(ISNUMBER((NºAsuntos!C10+NºAsuntos!E10)/NºAsuntos!G10),(NºAsuntos!C10+NºAsuntos!E10)/NºAsuntos!G10," - ")</f>
        <v>1.826086956521739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0.81973434535104361</v>
      </c>
      <c r="C12" s="498">
        <f>IF(ISNUMBER(NºAsuntos!I12/NºAsuntos!G12),NºAsuntos!I12/NºAsuntos!G12," - ")</f>
        <v>1.6458333333333333</v>
      </c>
      <c r="D12" s="499">
        <f>IF(ISNUMBER('Resol  Asuntos'!D12/NºAsuntos!G12),'Resol  Asuntos'!D12/NºAsuntos!G12," - ")</f>
        <v>0.20833333333333334</v>
      </c>
      <c r="E12" s="500">
        <f>IF(ISNUMBER((NºAsuntos!C12+NºAsuntos!E12)/NºAsuntos!G12),(NºAsuntos!C12+NºAsuntos!E12)/NºAsuntos!G12," - ")</f>
        <v>2.6712962962962963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0.84259259259259256</v>
      </c>
      <c r="C14" s="1156">
        <f>IF(ISNUMBER(NºAsuntos!I14/NºAsuntos!G14),NºAsuntos!I14/NºAsuntos!G14," - ")</f>
        <v>1.6043956043956045</v>
      </c>
      <c r="D14" s="1157">
        <f>IF(ISNUMBER('Resol  Asuntos'!D14/NºAsuntos!G14),'Resol  Asuntos'!D14/NºAsuntos!G14," - ")</f>
        <v>0.21098901098901099</v>
      </c>
      <c r="E14" s="1158">
        <f>IF(ISNUMBER((NºAsuntos!C14+NºAsuntos!E14)/NºAsuntos!G14),(NºAsuntos!C14+NºAsuntos!E14)/NºAsuntos!G14," - ")</f>
        <v>2.6285714285714286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1.1696969696969697</v>
      </c>
      <c r="C17" s="498">
        <f>IF(ISNUMBER(NºAsuntos!I17/NºAsuntos!G17),NºAsuntos!I17/NºAsuntos!G17," - ")</f>
        <v>1.7797927461139897</v>
      </c>
      <c r="D17" s="499">
        <f>IF(ISNUMBER('Resol  Asuntos'!D17/NºAsuntos!G17),'Resol  Asuntos'!D17/NºAsuntos!G17," - ")</f>
        <v>0.20725388601036268</v>
      </c>
      <c r="E17" s="500">
        <f>IF(ISNUMBER((NºAsuntos!C17+NºAsuntos!E17)/NºAsuntos!G17),(NºAsuntos!C17+NºAsuntos!E17)/NºAsuntos!G17," - ")</f>
        <v>2.7797927461139897</v>
      </c>
      <c r="G17" s="523"/>
    </row>
    <row r="18" spans="1:7">
      <c r="A18" s="450" t="str">
        <f>Datos!A18</f>
        <v>Jdos. Violencia contra la mujer</v>
      </c>
      <c r="B18" s="497">
        <f>IF(ISNUMBER(NºAsuntos!G18/NºAsuntos!E18),NºAsuntos!G18/NºAsuntos!E18," - ")</f>
        <v>1.5283018867924529</v>
      </c>
      <c r="C18" s="498">
        <f>IF(ISNUMBER(NºAsuntos!I18/NºAsuntos!G18),NºAsuntos!I18/NºAsuntos!G18," - ")</f>
        <v>1.0246913580246915</v>
      </c>
      <c r="D18" s="499">
        <f>IF(ISNUMBER('Resol  Asuntos'!D18/NºAsuntos!G18),'Resol  Asuntos'!D18/NºAsuntos!G18," - ")</f>
        <v>7.407407407407407E-2</v>
      </c>
      <c r="E18" s="500">
        <f>IF(ISNUMBER((NºAsuntos!C18+NºAsuntos!E18)/NºAsuntos!G18),(NºAsuntos!C18+NºAsuntos!E18)/NºAsuntos!G18," - ")</f>
        <v>2.0246913580246915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1.2193211488250653</v>
      </c>
      <c r="C23" s="1156">
        <f>IF(ISNUMBER(NºAsuntos!I23/NºAsuntos!G23),NºAsuntos!I23/NºAsuntos!G23," - ")</f>
        <v>1.6488222698072805</v>
      </c>
      <c r="D23" s="1159">
        <f>IF(ISNUMBER('Resol  Asuntos'!D23/NºAsuntos!G23),'Resol  Asuntos'!D23/NºAsuntos!G23," - ")</f>
        <v>0.1841541755888651</v>
      </c>
      <c r="E23" s="1158">
        <f>IF(ISNUMBER((NºAsuntos!C23+NºAsuntos!E23)/NºAsuntos!G23),(NºAsuntos!C23+NºAsuntos!E23)/NºAsuntos!G23," - ")</f>
        <v>2.6488222698072805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0.99891657638136511</v>
      </c>
      <c r="C31" s="1099">
        <f>IF(ISNUMBER(NºAsuntos!I31/NºAsuntos!G31),NºAsuntos!I31/NºAsuntos!G31," - ")</f>
        <v>1.6268980477223427</v>
      </c>
      <c r="D31" s="1100">
        <f>IF(ISNUMBER('Resol  Asuntos'!D31/NºAsuntos!G31),'Resol  Asuntos'!D31/NºAsuntos!G31," - ")</f>
        <v>0.19739696312364424</v>
      </c>
      <c r="E31" s="1101">
        <f>IF(ISNUMBER((NºAsuntos!C31+NºAsuntos!E31)/NºAsuntos!G31),(NºAsuntos!C31+NºAsuntos!E31)/NºAsuntos!G31," - ")</f>
        <v>2.6388286334056401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JailxlJfwslcgtX2YHqHSAQ1gjS2+FSUt3TtTJIdXeFEOyjkJGlWLve2EAyG5Toj7aCGBjZACTNxS7VZbsQcg==" saltValue="xXtyvV5bahvo0YkQ2FS9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BERGARA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0</v>
      </c>
      <c r="Y10" s="374">
        <f t="shared" ref="Y10:Y13" si="0">SUM(W10:X10)</f>
        <v>23</v>
      </c>
      <c r="Z10" s="375" t="str">
        <f>IF(ISNUMBER(Datos!CC10),Datos!CC10," - ")</f>
        <v xml:space="preserve"> - </v>
      </c>
      <c r="AA10" s="372">
        <f>IF(ISNUMBER(Datos!L10),Datos!L10,"-")</f>
        <v>19</v>
      </c>
      <c r="AB10" s="374">
        <f>IF(ISNUMBER(Datos!R10),Datos!R10," - ")</f>
        <v>18</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1.7692307692307692</v>
      </c>
      <c r="AM10" s="284">
        <f>IF(ISNUMBER(((NºAsuntos!I10/NºAsuntos!G10)*11)/factor_trimestre),((NºAsuntos!I10/NºAsuntos!G10)*11)/factor_trimestre," - ")</f>
        <v>2.4782608695652177</v>
      </c>
      <c r="AN10" s="267">
        <f>IF(ISNUMBER('Resol  Asuntos'!D10/NºAsuntos!G10),'Resol  Asuntos'!D10/NºAsuntos!G10," - ")</f>
        <v>0.2608695652173913</v>
      </c>
      <c r="AO10" s="268">
        <f>IF(ISNUMBER((NºAsuntos!C10+NºAsuntos!E10)/NºAsuntos!G10),(NºAsuntos!C10+NºAsuntos!E10)/NºAsuntos!G10," - ")</f>
        <v>1.826086956521739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90</v>
      </c>
      <c r="AJ12" s="243" t="str">
        <f>IF(ISNUMBER(Datos!BW12),Datos!BW12," - ")</f>
        <v xml:space="preserve"> - </v>
      </c>
      <c r="AK12" s="242" t="str">
        <f>IF(ISNUMBER(Datos!BX12),Datos!BX12," - ")</f>
        <v xml:space="preserve"> - </v>
      </c>
      <c r="AL12" s="266">
        <f>IF(ISNUMBER(NºAsuntos!G12/NºAsuntos!E12),NºAsuntos!G12/NºAsuntos!E12," - ")</f>
        <v>0.81973434535104361</v>
      </c>
      <c r="AM12" s="284">
        <f>IF(ISNUMBER(((NºAsuntos!I12/NºAsuntos!G12)*11)/factor_trimestre),((NºAsuntos!I12/NºAsuntos!G12)*11)/factor_trimestre," - ")</f>
        <v>4.9374999999999991</v>
      </c>
      <c r="AN12" s="267">
        <f>IF(ISNUMBER('Resol  Asuntos'!D12/NºAsuntos!G12),'Resol  Asuntos'!D12/NºAsuntos!G12," - ")</f>
        <v>0.20833333333333334</v>
      </c>
      <c r="AO12" s="268">
        <f>IF(ISNUMBER((NºAsuntos!C12+NºAsuntos!E12)/NºAsuntos!G12),(NºAsuntos!C12+NºAsuntos!E12)/NºAsuntos!G12," - ")</f>
        <v>2.6712962962962963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81</v>
      </c>
      <c r="Y14" s="1165">
        <f t="shared" si="6"/>
        <v>104</v>
      </c>
      <c r="Z14" s="1165">
        <f t="shared" si="6"/>
        <v>0</v>
      </c>
      <c r="AA14" s="1165">
        <f t="shared" si="6"/>
        <v>19</v>
      </c>
      <c r="AB14" s="1165">
        <f t="shared" si="6"/>
        <v>973</v>
      </c>
      <c r="AC14" s="1165">
        <f t="shared" si="6"/>
        <v>37</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0.84259259259259256</v>
      </c>
      <c r="AM14" s="1171">
        <f>IF(ISNUMBER(((NºAsuntos!I14/NºAsuntos!G14)*11)/factor_trimestre),((NºAsuntos!I14/NºAsuntos!G14)*11)/factor_trimestre," - ")</f>
        <v>4.8131868131868139</v>
      </c>
      <c r="AN14" s="1172">
        <f>IF(ISNUMBER('Resol  Asuntos'!D14/NºAsuntos!G14),'Resol  Asuntos'!D14/NºAsuntos!G14," - ")</f>
        <v>0.21098901098901099</v>
      </c>
      <c r="AO14" s="1173">
        <f>IF(ISNUMBER((NºAsuntos!C14+NºAsuntos!E14)/NºAsuntos!G14),(NºAsuntos!C14+NºAsuntos!E14)/NºAsuntos!G14," - ")</f>
        <v>2.6285714285714286</v>
      </c>
      <c r="AP14" s="1174" t="str">
        <f t="shared" si="2"/>
        <v xml:space="preserve"> - </v>
      </c>
      <c r="AQ14" s="1174">
        <f>IF(ISNUMBER((H14-W14+K14)/(F14)),(H14-W14+K14)/(F14)," - ")</f>
        <v>-0.7931034482758621</v>
      </c>
      <c r="AR14" s="1175">
        <f>IF(ISNUMBER((Datos!P14-Datos!Q14)/(Datos!R14-Datos!P14+Datos!Q14)),(Datos!P14-Datos!Q14)/(Datos!R14-Datos!P14+Datos!Q14)," - ")</f>
        <v>-3.2803180914512925E-2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743</v>
      </c>
      <c r="G17" s="373">
        <f>IF(ISNUMBER(IF(D_I="SI",Datos!I17,Datos!I17+Datos!AC17)),IF(D_I="SI",Datos!I17,Datos!I17+Datos!AC17)," - ")</f>
        <v>743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386</v>
      </c>
      <c r="X17" s="240">
        <f>IF(ISNUMBER(Datos!Q17),Datos!Q17," - ")</f>
        <v>30</v>
      </c>
      <c r="Y17" s="374">
        <f t="shared" ref="Y17:Y22" si="9">SUM(W17:X17)</f>
        <v>416</v>
      </c>
      <c r="Z17" s="375" t="str">
        <f>IF(ISNUMBER(Datos!CC17),Datos!CC17," - ")</f>
        <v xml:space="preserve"> - </v>
      </c>
      <c r="AA17" s="372">
        <f>IF(ISNUMBER(IF(D_I="SI",Datos!L17,Datos!L17+Datos!AF17)),IF(D_I="SI",Datos!L17,Datos!L17+Datos!AF17)," - ")</f>
        <v>687</v>
      </c>
      <c r="AB17" s="374">
        <f>IF(ISNUMBER(Datos!R17),Datos!R17," - ")</f>
        <v>132</v>
      </c>
      <c r="AC17" s="374">
        <f t="shared" si="8"/>
        <v>819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1.1696969696969697</v>
      </c>
      <c r="AM17" s="284">
        <f>IF(ISNUMBER(((NºAsuntos!I17/NºAsuntos!G17)*11)/factor_trimestre),((NºAsuntos!I17/NºAsuntos!G17)*11)/factor_trimestre," - ")</f>
        <v>5.3393782383419692</v>
      </c>
      <c r="AN17" s="267">
        <f>IF(ISNUMBER('Resol  Asuntos'!D17/NºAsuntos!G17),'Resol  Asuntos'!D17/NºAsuntos!G17," - ")</f>
        <v>0.20725388601036268</v>
      </c>
      <c r="AO17" s="268">
        <f>IF(ISNUMBER((NºAsuntos!C17+NºAsuntos!E17)/NºAsuntos!G17),(NºAsuntos!C17+NºAsuntos!E17)/NºAsuntos!G17," - ")</f>
        <v>2.7797927461139897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0</v>
      </c>
      <c r="Y18" s="374">
        <f t="shared" si="9"/>
        <v>81</v>
      </c>
      <c r="Z18" s="375" t="str">
        <f>IF(ISNUMBER(Datos!CC18),Datos!CC18," - ")</f>
        <v xml:space="preserve"> - </v>
      </c>
      <c r="AA18" s="372">
        <f>IF(ISNUMBER(Datos!L18),Datos!L18,"-")</f>
        <v>83</v>
      </c>
      <c r="AB18" s="374">
        <f>IF(ISNUMBER(Datos!R18),Datos!R18," - ")</f>
        <v>3</v>
      </c>
      <c r="AC18" s="374">
        <f t="shared" si="8"/>
        <v>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1.5283018867924529</v>
      </c>
      <c r="AM18" s="284">
        <f>IF(ISNUMBER(((NºAsuntos!I18/NºAsuntos!G18)*11)/factor_trimestre),((NºAsuntos!I18/NºAsuntos!G18)*11)/factor_trimestre," - ")</f>
        <v>3.0740740740740744</v>
      </c>
      <c r="AN18" s="267">
        <f>IF(ISNUMBER('Resol  Asuntos'!D18/NºAsuntos!G18),'Resol  Asuntos'!D18/NºAsuntos!G18," - ")</f>
        <v>7.407407407407407E-2</v>
      </c>
      <c r="AO18" s="268">
        <f>IF(ISNUMBER((NºAsuntos!C18+NºAsuntos!E18)/NºAsuntos!G18),(NºAsuntos!C18+NºAsuntos!E18)/NºAsuntos!G18," - ")</f>
        <v>2.0246913580246915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743</v>
      </c>
      <c r="G23" s="1163">
        <f>SUBTOTAL(9,G16:G22)</f>
        <v>854</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467</v>
      </c>
      <c r="X23" s="1164">
        <f t="shared" si="14"/>
        <v>30</v>
      </c>
      <c r="Y23" s="1165">
        <f t="shared" si="14"/>
        <v>497</v>
      </c>
      <c r="Z23" s="1165">
        <f t="shared" si="14"/>
        <v>0</v>
      </c>
      <c r="AA23" s="1165">
        <f t="shared" si="14"/>
        <v>770</v>
      </c>
      <c r="AB23" s="1165">
        <f t="shared" si="14"/>
        <v>135</v>
      </c>
      <c r="AC23" s="1165">
        <f t="shared" si="14"/>
        <v>905</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1.2193211488250653</v>
      </c>
      <c r="AM23" s="1171">
        <f>IF(ISNUMBER(((NºAsuntos!I23/NºAsuntos!G23)*11)/factor_trimestre),((NºAsuntos!I23/NºAsuntos!G23)*11)/factor_trimestre," - ")</f>
        <v>4.9464668094218416</v>
      </c>
      <c r="AN23" s="1172">
        <f>IF(ISNUMBER('Resol  Asuntos'!D23/NºAsuntos!G23),'Resol  Asuntos'!D23/NºAsuntos!G23," - ")</f>
        <v>0.1841541755888651</v>
      </c>
      <c r="AO23" s="1173">
        <f>IF(ISNUMBER((NºAsuntos!C23+NºAsuntos!E23)/NºAsuntos!G23),(NºAsuntos!C23+NºAsuntos!E23)/NºAsuntos!G23," - ")</f>
        <v>2.6488222698072805</v>
      </c>
      <c r="AP23" s="1174" t="str">
        <f t="shared" si="2"/>
        <v xml:space="preserve"> - </v>
      </c>
      <c r="AQ23" s="1174">
        <f>IF(ISNUMBER((H23-W23+K23)/(F23)),(H23-W23+K23)/(F23)," - ")</f>
        <v>-0.62853297442799461</v>
      </c>
      <c r="AR23" s="1175">
        <f>IF(ISNUMBER((Datos!P23-Datos!Q23)/(Datos!R23-Datos!P23+Datos!Q23)),(Datos!P23-Datos!Q23)/(Datos!R23-Datos!P23+Datos!Q23)," - ")</f>
        <v>-7.3529411764705881E-3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772</v>
      </c>
      <c r="G31" s="1118">
        <f t="shared" si="20"/>
        <v>883</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490</v>
      </c>
      <c r="X31" s="1118">
        <f t="shared" si="21"/>
        <v>111</v>
      </c>
      <c r="Y31" s="1125">
        <f t="shared" si="21"/>
        <v>601</v>
      </c>
      <c r="Z31" s="1125">
        <f t="shared" si="21"/>
        <v>0</v>
      </c>
      <c r="AA31" s="1125">
        <f t="shared" si="21"/>
        <v>789</v>
      </c>
      <c r="AB31" s="1125">
        <f t="shared" si="21"/>
        <v>1108</v>
      </c>
      <c r="AC31" s="1125">
        <f t="shared" si="21"/>
        <v>942</v>
      </c>
      <c r="AD31" s="1125">
        <f t="shared" si="21"/>
        <v>0</v>
      </c>
      <c r="AE31" s="1127">
        <f t="shared" si="21"/>
        <v>0</v>
      </c>
      <c r="AF31" s="1128">
        <f t="shared" si="21"/>
        <v>0</v>
      </c>
      <c r="AG31" s="1129">
        <f t="shared" si="21"/>
        <v>0</v>
      </c>
      <c r="AH31" s="1127">
        <f t="shared" si="21"/>
        <v>0</v>
      </c>
      <c r="AI31" s="1117">
        <f t="shared" si="21"/>
        <v>182</v>
      </c>
      <c r="AJ31" s="1117">
        <f t="shared" si="21"/>
        <v>0</v>
      </c>
      <c r="AK31" s="1127">
        <f t="shared" si="21"/>
        <v>0</v>
      </c>
      <c r="AL31" s="1183">
        <f>IF(ISNUMBER(NºAsuntos!G31/NºAsuntos!E31),NºAsuntos!G31/NºAsuntos!E31," - ")</f>
        <v>0.99891657638136511</v>
      </c>
      <c r="AM31" s="1184">
        <f>IF(ISNUMBER(((NºAsuntos!I31/NºAsuntos!G31)*11)/factor_trimestre),((NºAsuntos!I31/NºAsuntos!G31)*11)/factor_trimestre," - ")</f>
        <v>4.8806941431670277</v>
      </c>
      <c r="AN31" s="1184">
        <f>IF(ISNUMBER('Resol  Asuntos'!D31/NºAsuntos!G31),'Resol  Asuntos'!D31/NºAsuntos!G31," - ")</f>
        <v>0.19739696312364424</v>
      </c>
      <c r="AO31" s="1185">
        <f>IF(ISNUMBER((NºAsuntos!C31+NºAsuntos!E31)/NºAsuntos!G31),(NºAsuntos!C31+NºAsuntos!E31)/NºAsuntos!G31," - ")</f>
        <v>2.6388286334056401</v>
      </c>
      <c r="AP31" s="1186" t="str">
        <f t="shared" si="2"/>
        <v xml:space="preserve"> - </v>
      </c>
      <c r="AQ31" s="1187">
        <f>IF(OR(ISNUMBER(FIND("01",Criterios!A8,1)),ISNUMBER(FIND("02",Criterios!A8,1)),ISNUMBER(FIND("03",Criterios!A8,1)),ISNUMBER(FIND("04",Criterios!A8,1))),(I31-W31+K31)/(F31-K31),(H31-W31+K31)/(F31-K31))</f>
        <v>-0.63471502590673579</v>
      </c>
      <c r="AR31" s="1188">
        <f>IF(ISNUMBER((Datos!P31-Datos!Q31)/(Datos!R31-Datos!P31+Datos!Q31)),(Datos!P31-Datos!Q31)/(Datos!R31-Datos!P31+Datos!Q31)," - ")</f>
        <v>-2.9772329246935202E-2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376.41926978658603</v>
      </c>
      <c r="G33" s="277">
        <f>IF(ISNUMBER(STDEV(G8:G30)),STDEV(G8:G30),"-")</f>
        <v>376.34900216231671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198.9572818471342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45.704016703755293</v>
      </c>
      <c r="AJ33" s="276">
        <f t="shared" si="25"/>
        <v>0</v>
      </c>
      <c r="AK33" s="278">
        <f t="shared" si="25"/>
        <v>0</v>
      </c>
      <c r="AL33" s="273">
        <f t="shared" si="25"/>
        <v>0.37463190077122449</v>
      </c>
      <c r="AM33" s="274">
        <f t="shared" si="25"/>
        <v>1.1817099230154295</v>
      </c>
      <c r="AN33" s="274">
        <f t="shared" si="25"/>
        <v>6.2553128965093019E-2</v>
      </c>
      <c r="AO33" s="275">
        <f t="shared" si="25"/>
        <v>0.39921889589178777</v>
      </c>
      <c r="AP33" s="317" t="str">
        <f t="shared" si="25"/>
        <v>-</v>
      </c>
      <c r="AQ33" s="318">
        <f t="shared" si="25"/>
        <v>0.1163688980409113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afrQF+BsuDaQMm8g5aY/xnDZ2gji/U/WRFV1OSOUQFMxj15+xjaHdX3sIs4SUmfbdJ3h/Gq9YIYxoa4GZRn7w==" saltValue="dukdTZ507KL35TV3GZ4P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BERGARA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v>
      </c>
      <c r="E10" s="393">
        <f>IF(ISNUMBER((Datos!J10-Datos!T10)/Datos!T10),(Datos!J10-Datos!T10)/Datos!T10," - ")</f>
        <v>8.3333333333333329E-2</v>
      </c>
      <c r="F10" s="393">
        <f>IF(ISNUMBER((Datos!K10-Datos!U10)/Datos!U10),(Datos!K10-Datos!U10)/Datos!U10," - ")</f>
        <v>2.2857142857142856</v>
      </c>
      <c r="G10" s="394">
        <f>IF(ISNUMBER((Datos!L10-Datos!V10)/Datos!V10),(Datos!L10-Datos!V10)/Datos!V10," - ")</f>
        <v>-0.24</v>
      </c>
      <c r="H10" s="244">
        <f>IF(ISNUMBER((Datos!M10-Datos!W10)/Datos!W10),(Datos!M10-Datos!W10)/Datos!W10," - ")</f>
        <v>0.2</v>
      </c>
      <c r="I10" s="395">
        <f>IF(ISNUMBER((Tasas!C10-Datos!BE10)/Datos!BE10),(Tasas!C10-Datos!BE10)/Datos!BE10," - ")</f>
        <v>-0.768695652173913</v>
      </c>
      <c r="J10" s="394">
        <f>IF(ISNUMBER((Tasas!D10-Datos!BF10)/Datos!BF10),(Tasas!D10-Datos!BF10)/Datos!BF10," - ")</f>
        <v>-0.63478260869565217</v>
      </c>
      <c r="K10" s="396">
        <f>IF(ISNUMBER((Tasas!E10-Datos!BG10)/Datos!BG10),(Tasas!E10-Datos!BG10)/Datos!BG10," - ")</f>
        <v>-0.60054347826086951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-3.2258064516129031E-2</v>
      </c>
      <c r="I12" s="395">
        <f>IF(ISNUMBER((Tasas!C12-Datos!BE12)/Datos!BE12),(Tasas!C12-Datos!BE12)/Datos!BE12," - ")</f>
        <v>6.4448441247002171E-3</v>
      </c>
      <c r="J12" s="394">
        <f>IF(ISNUMBER((Tasas!D12-Datos!BF12)/Datos!BF12),(Tasas!D12-Datos!BF12)/Datos!BF12," - ")</f>
        <v>-0.39971751412429374</v>
      </c>
      <c r="K12" s="396">
        <f>IF(ISNUMBER((Tasas!E12-Datos!BG12)/Datos!BG12),(Tasas!E12-Datos!BG12)/Datos!BG12," - ")</f>
        <v>1.3661541005291013E-2</v>
      </c>
      <c r="M12" t="e">
        <f>IF(Monitorios="SI",Datos!CE12,0)</f>
        <v>#REF!</v>
      </c>
      <c r="N12" t="e">
        <f>IF(Monitorios="SI",Datos!CF12,0)</f>
        <v>#REF!</v>
      </c>
      <c r="O12" t="e">
        <f>IF(Monitorios="SI",Datos!CG12,0)</f>
        <v>#REF!</v>
      </c>
      <c r="P12" t="e">
        <f>IF(Monitorios="SI",Datos!CH12,0)</f>
        <v>#REF!</v>
      </c>
      <c r="Q12">
        <f>IF(J_V="SI",0,Datos!AG12)</f>
        <v>32</v>
      </c>
      <c r="R12">
        <f>IF(J_V="SI",0,Datos!AH12)</f>
        <v>76</v>
      </c>
      <c r="S12">
        <f>IF(J_V="SI",0,Datos!AI12)</f>
        <v>64</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-2.0408163265306121E-2</v>
      </c>
      <c r="I14" s="402">
        <f>IF(ISNUMBER((Tasas!C14-Datos!BE14)/Datos!BE14),(Tasas!C14-Datos!BE14)/Datos!BE14," - ")</f>
        <v>-4.1780938510714752E-2</v>
      </c>
      <c r="J14" s="400">
        <f>IF(ISNUMBER((Tasas!D14-Datos!BF14)/Datos!BF14),(Tasas!D14-Datos!BF14)/Datos!BF14," - ")</f>
        <v>-0.40477083891718041</v>
      </c>
      <c r="K14" s="403">
        <f>IF(ISNUMBER((Tasas!E14-Datos!BG14)/Datos!BG14),(Tasas!E14-Datos!BG14)/Datos!BG14," - ")</f>
        <v>-1.7118226600985168E-2</v>
      </c>
      <c r="M14" t="e">
        <f>IF(Monitorios="SI",Datos!CE14,0)</f>
        <v>#REF!</v>
      </c>
      <c r="N14" t="e">
        <f>IF(Monitorios="SI",Datos!CF14,0)</f>
        <v>#REF!</v>
      </c>
      <c r="O14" t="e">
        <f>IF(Monitorios="SI",Datos!CG14,0)</f>
        <v>#REF!</v>
      </c>
      <c r="P14" t="e">
        <f>IF(Monitorios="SI",Datos!CH14,0)</f>
        <v>#REF!</v>
      </c>
      <c r="Q14">
        <f>IF(J_V="SI",0,Datos!AG14)</f>
        <v>32</v>
      </c>
      <c r="R14">
        <f>IF(J_V="SI",0,Datos!AH14)</f>
        <v>76</v>
      </c>
      <c r="S14">
        <f>IF(J_V="SI",0,Datos!AI14)</f>
        <v>64</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0.45401174168297453</v>
      </c>
      <c r="E17" s="393">
        <f>IF(ISNUMBER(
   IF(D_I="SI",(Datos!J17-Datos!T17)/Datos!T17,(Datos!J17+Datos!AD17-(Datos!T17+Datos!AL17))/(Datos!T17+Datos!AL17))
     ),IF(D_I="SI",(Datos!J17-Datos!T17)/Datos!T17,(Datos!J17+Datos!AD17-(Datos!T17+Datos!AL17))/(Datos!T17+Datos!AL17))," - ")</f>
        <v>-2.0771513353115726E-2</v>
      </c>
      <c r="F17" s="393">
        <f>IF(ISNUMBER(
   IF(D_I="SI",(Datos!K17-Datos!U17)/Datos!U17,(Datos!K17+Datos!AE17-(Datos!U17+Datos!AM17))/(Datos!U17+Datos!AM17))
     ),IF(D_I="SI",(Datos!K17-Datos!U17)/Datos!U17,(Datos!K17+Datos!AE17-(Datos!U17+Datos!AM17))/(Datos!U17+Datos!AM17))," - ")</f>
        <v>1.1685393258426966</v>
      </c>
      <c r="G17" s="394">
        <f>IF(ISNUMBER(
   IF(D_I="SI",(Datos!L17-Datos!V17)/Datos!V17,(Datos!L17+Datos!AF17-(Datos!V17+Datos!AN17))/(Datos!V17+Datos!AN17))
     ),IF(D_I="SI",(Datos!L17-Datos!V17)/Datos!V17,(Datos!L17+Datos!AF17-(Datos!V17+Datos!AN17))/(Datos!V17+Datos!AN17))," - ")</f>
        <v>2.3845007451564829E-2</v>
      </c>
      <c r="H17" s="244">
        <f>IF(ISNUMBER((Datos!M17-Datos!W17)/Datos!W17),(Datos!M17-Datos!W17)/Datos!W17," - ")</f>
        <v>8.1081081081081086E-2</v>
      </c>
      <c r="I17" s="395">
        <f>IF(ISNUMBER((Tasas!C17-Datos!BE17)/Datos!BE17),(Tasas!C17-Datos!BE17)/Datos!BE17," - ")</f>
        <v>-0.52786421936171368</v>
      </c>
      <c r="J17" s="394">
        <f>IF(ISNUMBER((Tasas!D17-Datos!BF17)/Datos!BF17),(Tasas!D17-Datos!BF17)/Datos!BF17," - ")</f>
        <v>-0.50147038229939789</v>
      </c>
      <c r="K17" s="396">
        <f>IF(ISNUMBER((Tasas!E17-Datos!BG17)/Datos!BG17),(Tasas!E17-Datos!BG17)/Datos!BG17," - ")</f>
        <v>-0.41650576791475219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0.52054794520547942</v>
      </c>
      <c r="E18" s="393">
        <f>IF(ISNUMBER(
   IF(D_I="SI",(Datos!J18-Datos!T18)/Datos!T18,(Datos!J18+Datos!AD18-(Datos!T18+Datos!AL18))/(Datos!T18+Datos!AL18))
     ),IF(D_I="SI",(Datos!J18-Datos!T18)/Datos!T18,(Datos!J18+Datos!AD18-(Datos!T18+Datos!AL18))/(Datos!T18+Datos!AL18))," - ")</f>
        <v>-0.10169491525423729</v>
      </c>
      <c r="F18" s="393">
        <f>IF(ISNUMBER(
   IF(D_I="SI",(Datos!K18-Datos!U18)/Datos!U18,(Datos!K18+Datos!AE18-(Datos!U18+Datos!AM18))/(Datos!U18+Datos!AM18))
     ),IF(D_I="SI",(Datos!K18-Datos!U18)/Datos!U18,(Datos!K18+Datos!AE18-(Datos!U18+Datos!AM18))/(Datos!U18+Datos!AM18))," - ")</f>
        <v>1.131578947368421</v>
      </c>
      <c r="G18" s="394">
        <f>IF(ISNUMBER(
   IF(D_I="SI",(Datos!L18-Datos!V18)/Datos!V18,(Datos!L18+Datos!AF18-(Datos!V18+Datos!AN18))/(Datos!V18+Datos!AN18))
     ),IF(D_I="SI",(Datos!L18-Datos!V18)/Datos!V18,(Datos!L18+Datos!AF18-(Datos!V18+Datos!AN18))/(Datos!V18+Datos!AN18))," - ")</f>
        <v>-0.11702127659574468</v>
      </c>
      <c r="H18" s="244">
        <f>IF(ISNUMBER((Datos!M18-Datos!W18)/Datos!W18),(Datos!M18-Datos!W18)/Datos!W18," - ")</f>
        <v>-0.4</v>
      </c>
      <c r="I18" s="395">
        <f>IF(ISNUMBER((Tasas!C18-Datos!BE18)/Datos!BE18),(Tasas!C18-Datos!BE18)/Datos!BE18," - ")</f>
        <v>-0.58576306803257161</v>
      </c>
      <c r="J18" s="394">
        <f>IF(ISNUMBER((Tasas!D18-Datos!BF18)/Datos!BF18),(Tasas!D18-Datos!BF18)/Datos!BF18," - ")</f>
        <v>-0.71851851851851856</v>
      </c>
      <c r="K18" s="396">
        <f>IF(ISNUMBER((Tasas!E18-Datos!BG18)/Datos!BG18),(Tasas!E18-Datos!BG18)/Datos!BG18," - ")</f>
        <v>-0.4171343060231949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0.46232876712328769</v>
      </c>
      <c r="E23" s="399">
        <f>IF(ISNUMBER(
   IF(D_I="SI",(Datos!J23-Datos!T23)/Datos!T23,(Datos!J23+Datos!AD23-(Datos!T23+Datos!AL23))/(Datos!T23+Datos!AL23))
     ),IF(D_I="SI",(Datos!J23-Datos!T23)/Datos!T23,(Datos!J23+Datos!AD23-(Datos!T23+Datos!AL23))/(Datos!T23+Datos!AL23))," - ")</f>
        <v>-3.2828282828282832E-2</v>
      </c>
      <c r="F23" s="399">
        <f>IF(ISNUMBER(
   IF(D_I="SI",(Datos!K23-Datos!U23)/Datos!U23,(Datos!K23+Datos!AE23-(Datos!U23+Datos!AM23))/(Datos!U23+Datos!AM23))
     ),IF(D_I="SI",(Datos!K23-Datos!U23)/Datos!U23,(Datos!K23+Datos!AE23-(Datos!U23+Datos!AM23))/(Datos!U23+Datos!AM23))," - ")</f>
        <v>1.162037037037037</v>
      </c>
      <c r="G23" s="400">
        <f>IF(ISNUMBER(
   IF(D_I="SI",(Datos!L23-Datos!V23)/Datos!V23,(Datos!L23+Datos!AF23-(Datos!V23+Datos!AN23))/(Datos!V23+Datos!AN23))
     ),IF(D_I="SI",(Datos!L23-Datos!V23)/Datos!V23,(Datos!L23+Datos!AF23-(Datos!V23+Datos!AN23))/(Datos!V23+Datos!AN23))," - ")</f>
        <v>6.5359477124183009E-3</v>
      </c>
      <c r="H23" s="401">
        <f>IF(ISNUMBER((Datos!M23-Datos!W23)/Datos!W23),(Datos!M23-Datos!W23)/Datos!W23," - ")</f>
        <v>2.3809523809523808E-2</v>
      </c>
      <c r="I23" s="402">
        <f>IF(ISNUMBER((Tasas!C23-Datos!BE23)/Datos!BE23),(Tasas!C23-Datos!BE23)/Datos!BE23," - ")</f>
        <v>-0.53445018264265021</v>
      </c>
      <c r="J23" s="400">
        <f>IF(ISNUMBER((Tasas!D23-Datos!BF23)/Datos!BF23),(Tasas!D23-Datos!BF23)/Datos!BF23," - ")</f>
        <v>-0.52646069134291829</v>
      </c>
      <c r="K23" s="403">
        <f>IF(ISNUMBER((Tasas!E23-Datos!BG23)/Datos!BG23),(Tasas!E23-Datos!BG23)/Datos!BG23," - ")</f>
        <v>-0.4161779486955382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0.31304347826086959</v>
      </c>
      <c r="E31" s="409">
        <f>IF(ISNUMBER(
   IF(J_V="SI",(Datos!J31-Datos!T31)/Datos!T31,(Datos!J31+Datos!Z31-(Datos!T31+Datos!AH31))/(Datos!T31+Datos!AH31))
     ),IF(J_V="SI",(Datos!J31-Datos!T31)/Datos!T31,(Datos!J31+Datos!Z31-(Datos!T31+Datos!AH31))/(Datos!T31+Datos!AH31))," - ")</f>
        <v>0.21767810026385223</v>
      </c>
      <c r="F31" s="409">
        <f>IF(ISNUMBER(
   IF(J_V="SI",(Datos!K31-Datos!U31)/Datos!U31,(Datos!K31+Datos!AA31-(Datos!U31+Datos!AI31))/(Datos!U31+Datos!AI31))
     ),IF(J_V="SI",(Datos!K31-Datos!U31)/Datos!U31,(Datos!K31+Datos!AA31-(Datos!U31+Datos!AI31))/(Datos!U31+Datos!AI31))," - ")</f>
        <v>0.63765541740674958</v>
      </c>
      <c r="G31" s="410">
        <f>IF(ISNUMBER(
   IF(J_V="SI",(Datos!L31-Datos!V31)/Datos!V31,(Datos!L31+Datos!AB31-(Datos!V31+Datos!AJ31))/(Datos!V31+Datos!AJ31))
     ),IF(J_V="SI",(Datos!L31-Datos!V31)/Datos!V31,(Datos!L31+Datos!AB31-(Datos!V31+Datos!AJ31))/(Datos!V31+Datos!AJ31))," - ")</f>
        <v>0.11441307578008915</v>
      </c>
      <c r="H31" s="411">
        <f>IF(ISNUMBER((Datos!M31-Datos!W31)/Datos!W31),(Datos!M31-Datos!W31)/Datos!W31," - ")</f>
        <v>0</v>
      </c>
      <c r="I31" s="408">
        <f>IF(ISNUMBER((Tasas!C31-Datos!BE31)/Datos!BE31),(Tasas!C31-Datos!BE31)/Datos!BE31," - ")</f>
        <v>-0.31950698301063979</v>
      </c>
      <c r="J31" s="409">
        <f>IF(ISNUMBER((Tasas!D31-Datos!BF31)/Datos!BF31),(Tasas!D31-Datos!BF31)/Datos!BF31," - ")</f>
        <v>-0.46311840464438786</v>
      </c>
      <c r="K31" s="410">
        <f>IF(ISNUMBER((Tasas!E31-Datos!BG31)/Datos!BG31),(Tasas!E31-Datos!BG31)/Datos!BG31," - ")</f>
        <v>-0.22135192840284315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3.2953018489403296E-2</v>
      </c>
      <c r="E33" s="303">
        <f t="shared" si="1"/>
        <v>7.637809932357946E-2</v>
      </c>
      <c r="F33" s="303">
        <f t="shared" si="1"/>
        <v>0.56606057346222605</v>
      </c>
      <c r="G33" s="304">
        <f t="shared" si="1"/>
        <v>0.12278953168287772</v>
      </c>
      <c r="H33" s="310">
        <f t="shared" si="1"/>
        <v>0.20246407345537026</v>
      </c>
      <c r="I33" s="302">
        <f t="shared" si="1"/>
        <v>0.31557447842620912</v>
      </c>
      <c r="J33" s="303">
        <f t="shared" si="1"/>
        <v>0.12648755471590065</v>
      </c>
      <c r="K33" s="304">
        <f t="shared" si="1"/>
        <v>0.24861241515829102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qmWQUXpS+eGZFJ7gqss0XIweMUAKcjwCTCRKPy6BpfTMLBbxGvRTHfWEsDeAIDOmVQUc+cT9xvQIPth9ClTCA==" saltValue="lhIzoohfrN7UDafxzmly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